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2021\Contraloria General de la República\5. Covid\web\"/>
    </mc:Choice>
  </mc:AlternateContent>
  <bookViews>
    <workbookView xWindow="10296" yWindow="6000" windowWidth="22104" windowHeight="9108" activeTab="2"/>
  </bookViews>
  <sheets>
    <sheet name="RESUMEN POR SECCIONAL" sheetId="71" r:id="rId1"/>
    <sheet name="RESUMEN POR CATEGORIA" sheetId="72" r:id="rId2"/>
    <sheet name="CONSOLIDADO" sheetId="1" r:id="rId3"/>
    <sheet name="ADECUACIONES" sheetId="3" r:id="rId4"/>
    <sheet name="ALCOHOL" sheetId="2" r:id="rId5"/>
    <sheet name="ALQUILER COMPUTADOR P" sheetId="4" r:id="rId6"/>
    <sheet name="ALQUILER ESCANNERS" sheetId="5" r:id="rId7"/>
    <sheet name="AMONIO" sheetId="6" r:id="rId8"/>
    <sheet name="AREAS PROTEGIDAS" sheetId="7" r:id="rId9"/>
    <sheet name="ASPERSOR" sheetId="8" r:id="rId10"/>
    <sheet name="ATOMIZADOR" sheetId="9" r:id="rId11"/>
    <sheet name="AUXILIARES DE ASEO" sheetId="10" r:id="rId12"/>
    <sheet name="BATA" sheetId="12" r:id="rId13"/>
    <sheet name="BAYETILLA" sheetId="13" r:id="rId14"/>
    <sheet name="BLANQUEADOR" sheetId="14" r:id="rId15"/>
    <sheet name="BOLSAS" sheetId="15" r:id="rId16"/>
    <sheet name="BUZON" sheetId="16" r:id="rId17"/>
    <sheet name="CAMARA WEB" sheetId="17" r:id="rId18"/>
    <sheet name="CAMILLA" sheetId="68" r:id="rId19"/>
    <sheet name="CANECA PAPELERA" sheetId="18" r:id="rId20"/>
    <sheet name="CARETA" sheetId="19" r:id="rId21"/>
    <sheet name="CARPA" sheetId="21" r:id="rId22"/>
    <sheet name="COMPUTADOR" sheetId="22" r:id="rId23"/>
    <sheet name="CONSULTORIA" sheetId="23" r:id="rId24"/>
    <sheet name="DESFIBRILADOR" sheetId="70" r:id="rId25"/>
    <sheet name="DESINFECTANTE" sheetId="60" r:id="rId26"/>
    <sheet name="DIADEMA" sheetId="25" r:id="rId27"/>
    <sheet name="DISPENSADOR" sheetId="27" r:id="rId28"/>
    <sheet name="DIVISIONES BARRERAS" sheetId="28" r:id="rId29"/>
    <sheet name="ESCANNER" sheetId="29" r:id="rId30"/>
    <sheet name="GAFAS" sheetId="30" r:id="rId31"/>
    <sheet name="GALON" sheetId="31" r:id="rId32"/>
    <sheet name="GEL ANTIBACTERIAL" sheetId="32" r:id="rId33"/>
    <sheet name="GUANTES LATEX" sheetId="33" r:id="rId34"/>
    <sheet name="GUANTES NITRILO" sheetId="34" r:id="rId35"/>
    <sheet name="GUANTES NITILSAFE" sheetId="35" r:id="rId36"/>
    <sheet name="INSTALACION ELEMENTOS" sheetId="36" r:id="rId37"/>
    <sheet name="INTERCOMUNICADOR" sheetId="37" r:id="rId38"/>
    <sheet name="JABON LIQUIDO" sheetId="38" r:id="rId39"/>
    <sheet name="KIT PREVENCION" sheetId="69" r:id="rId40"/>
    <sheet name="LAVAMANOS" sheetId="39" r:id="rId41"/>
    <sheet name="LECTORA CODIGO" sheetId="40" r:id="rId42"/>
    <sheet name="LICENCIAS SW" sheetId="41" r:id="rId43"/>
    <sheet name="MAQUINA DESINFECCION" sheetId="42" r:id="rId44"/>
    <sheet name="PAÑOS LIMPIEZA" sheetId="43" r:id="rId45"/>
    <sheet name="PAPEL HIGIENICO" sheetId="44" r:id="rId46"/>
    <sheet name="PARLANTE" sheetId="45" r:id="rId47"/>
    <sheet name="PILAS" sheetId="46" r:id="rId48"/>
    <sheet name="PROF BASES DE DATOS" sheetId="47" r:id="rId49"/>
    <sheet name="PULSOXIMETRO" sheetId="66" r:id="rId50"/>
    <sheet name="SEÑALIZACION" sheetId="48" r:id="rId51"/>
    <sheet name="SERV. DESINFECCION" sheetId="49" r:id="rId52"/>
    <sheet name="SILLA DE RUEDAS" sheetId="67" r:id="rId53"/>
    <sheet name="TAPABOCAS" sheetId="50" r:id="rId54"/>
    <sheet name="TAPETE DESINFECTANTE" sheetId="51" r:id="rId55"/>
    <sheet name="TERMOMETROS" sheetId="52" r:id="rId56"/>
    <sheet name="TOALLAS DE PAPEL" sheetId="53" r:id="rId57"/>
    <sheet name="TRAJE DE PROTECCION" sheetId="54" r:id="rId58"/>
    <sheet name="VIGIAS" sheetId="56" r:id="rId59"/>
    <sheet name="VINAGRE" sheetId="58" r:id="rId60"/>
    <sheet name="VINIPEL" sheetId="59" r:id="rId61"/>
  </sheets>
  <definedNames>
    <definedName name="_xlnm._FilterDatabase" localSheetId="2" hidden="1">CONSOLIDADO!$A$1:$P$1014</definedName>
  </definedNames>
  <calcPr calcId="152511"/>
  <pivotCaches>
    <pivotCache cacheId="5" r:id="rId6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70" l="1"/>
  <c r="F2" i="70"/>
  <c r="O3" i="69"/>
  <c r="O2" i="69"/>
  <c r="O2" i="68"/>
  <c r="O2" i="67"/>
  <c r="O2" i="66"/>
  <c r="O15" i="51"/>
  <c r="O14" i="51"/>
  <c r="N13" i="51"/>
  <c r="O13" i="51" s="1"/>
  <c r="O12" i="51"/>
  <c r="N11" i="51"/>
  <c r="O11" i="51" s="1"/>
  <c r="O10" i="51"/>
  <c r="O9" i="51"/>
  <c r="O8" i="51"/>
  <c r="N8" i="51"/>
  <c r="O7" i="51"/>
  <c r="N7" i="51"/>
  <c r="N6" i="51"/>
  <c r="O6" i="51" s="1"/>
  <c r="O5" i="51"/>
  <c r="N5" i="51"/>
  <c r="O4" i="51"/>
  <c r="N4" i="51"/>
  <c r="O3" i="51"/>
  <c r="N3" i="51"/>
  <c r="O2" i="51"/>
  <c r="O35" i="48"/>
  <c r="O34" i="48"/>
  <c r="O33" i="48"/>
  <c r="N32" i="48"/>
  <c r="O32" i="48" s="1"/>
  <c r="O31" i="48"/>
  <c r="N31" i="48"/>
  <c r="O30" i="48"/>
  <c r="N30" i="48"/>
  <c r="O29" i="48"/>
  <c r="O28" i="48"/>
  <c r="O27" i="48"/>
  <c r="O26" i="48"/>
  <c r="O25" i="48"/>
  <c r="O24" i="48"/>
  <c r="O23" i="48"/>
  <c r="O22" i="48"/>
  <c r="O21" i="48"/>
  <c r="O20" i="48"/>
  <c r="O19" i="48"/>
  <c r="O18" i="48"/>
  <c r="O17" i="48"/>
  <c r="N17" i="48"/>
  <c r="O16" i="48"/>
  <c r="N16" i="48"/>
  <c r="N15" i="48"/>
  <c r="O15" i="48" s="1"/>
  <c r="N14" i="48"/>
  <c r="O14" i="48" s="1"/>
  <c r="O13" i="48"/>
  <c r="N13" i="48"/>
  <c r="O12" i="48"/>
  <c r="N12" i="48"/>
  <c r="N11" i="48"/>
  <c r="O11" i="48" s="1"/>
  <c r="N10" i="48"/>
  <c r="O10" i="48" s="1"/>
  <c r="O9" i="48"/>
  <c r="N9" i="48"/>
  <c r="O8" i="48"/>
  <c r="N8" i="48"/>
  <c r="N7" i="48"/>
  <c r="O7" i="48" s="1"/>
  <c r="N6" i="48"/>
  <c r="O6" i="48" s="1"/>
  <c r="O5" i="48"/>
  <c r="N5" i="48"/>
  <c r="O4" i="48"/>
  <c r="N4" i="48"/>
  <c r="N3" i="48"/>
  <c r="O3" i="48" s="1"/>
  <c r="O2" i="48"/>
  <c r="O24" i="39"/>
  <c r="O23" i="39"/>
  <c r="N23" i="39"/>
  <c r="O22" i="39"/>
  <c r="N22" i="39"/>
  <c r="O21" i="39"/>
  <c r="O20" i="39"/>
  <c r="O19" i="39"/>
  <c r="O18" i="39"/>
  <c r="O17" i="39"/>
  <c r="N17" i="39"/>
  <c r="O16" i="39"/>
  <c r="N16" i="39"/>
  <c r="N15" i="39"/>
  <c r="O15" i="39" s="1"/>
  <c r="O14" i="39"/>
  <c r="N14" i="39"/>
  <c r="O13" i="39"/>
  <c r="N13" i="39"/>
  <c r="O12" i="39"/>
  <c r="N12" i="39"/>
  <c r="N11" i="39"/>
  <c r="O11" i="39" s="1"/>
  <c r="O10" i="39"/>
  <c r="N10" i="39"/>
  <c r="O9" i="39"/>
  <c r="N9" i="39"/>
  <c r="O8" i="39"/>
  <c r="N8" i="39"/>
  <c r="N7" i="39"/>
  <c r="O7" i="39" s="1"/>
  <c r="O6" i="39"/>
  <c r="N6" i="39"/>
  <c r="O5" i="39"/>
  <c r="N5" i="39"/>
  <c r="O4" i="39"/>
  <c r="N4" i="39"/>
  <c r="N3" i="39"/>
  <c r="O3" i="39" s="1"/>
  <c r="O2" i="39"/>
  <c r="N2" i="39"/>
  <c r="M14" i="25"/>
  <c r="M13" i="25"/>
  <c r="N12" i="25"/>
  <c r="O12" i="25" s="1"/>
  <c r="N11" i="25"/>
  <c r="O11" i="25" s="1"/>
  <c r="N10" i="25"/>
  <c r="O10" i="25" s="1"/>
  <c r="M9" i="25"/>
  <c r="O8" i="25"/>
  <c r="N8" i="25"/>
  <c r="N7" i="25"/>
  <c r="O7" i="25" s="1"/>
  <c r="O6" i="25"/>
  <c r="N6" i="25"/>
  <c r="N5" i="25"/>
  <c r="O5" i="25" s="1"/>
  <c r="O4" i="25"/>
  <c r="N4" i="25"/>
  <c r="N3" i="25"/>
  <c r="O3" i="25" s="1"/>
  <c r="O2" i="25"/>
  <c r="N2" i="25"/>
  <c r="O5" i="22"/>
  <c r="O4" i="22"/>
  <c r="N3" i="22"/>
  <c r="O3" i="22" s="1"/>
  <c r="M2" i="22"/>
  <c r="N18" i="17"/>
  <c r="O18" i="17" s="1"/>
  <c r="N17" i="17"/>
  <c r="O17" i="17" s="1"/>
  <c r="N16" i="17"/>
  <c r="O16" i="17" s="1"/>
  <c r="N15" i="17"/>
  <c r="O15" i="17" s="1"/>
  <c r="N14" i="17"/>
  <c r="O14" i="17" s="1"/>
  <c r="N13" i="17"/>
  <c r="O13" i="17" s="1"/>
  <c r="O12" i="17"/>
  <c r="N11" i="17"/>
  <c r="O11" i="17" s="1"/>
  <c r="O10" i="17"/>
  <c r="N10" i="17"/>
  <c r="O9" i="17"/>
  <c r="N9" i="17"/>
  <c r="O8" i="17"/>
  <c r="N8" i="17"/>
  <c r="N7" i="17"/>
  <c r="O7" i="17" s="1"/>
  <c r="O6" i="17"/>
  <c r="N6" i="17"/>
  <c r="O5" i="17"/>
  <c r="N5" i="17"/>
  <c r="O4" i="17"/>
  <c r="N4" i="17"/>
  <c r="N3" i="17"/>
  <c r="O3" i="17" s="1"/>
  <c r="O2" i="17"/>
  <c r="N2" i="17"/>
  <c r="O11" i="60"/>
  <c r="O10" i="60"/>
  <c r="O9" i="60"/>
  <c r="O8" i="60"/>
  <c r="O7" i="60"/>
  <c r="O6" i="60"/>
  <c r="M5" i="60"/>
  <c r="O5" i="60" s="1"/>
  <c r="K5" i="60"/>
  <c r="O4" i="60"/>
  <c r="O3" i="60"/>
  <c r="O2" i="60"/>
  <c r="N2" i="60"/>
  <c r="N12" i="29"/>
  <c r="M12" i="29"/>
  <c r="O12" i="29" s="1"/>
  <c r="M11" i="29"/>
  <c r="N11" i="29" s="1"/>
  <c r="O11" i="29" s="1"/>
  <c r="N10" i="29"/>
  <c r="O10" i="29" s="1"/>
  <c r="M10" i="29"/>
  <c r="M9" i="29"/>
  <c r="M8" i="29"/>
  <c r="O7" i="29"/>
  <c r="N7" i="29"/>
  <c r="O6" i="29"/>
  <c r="N6" i="29"/>
  <c r="O5" i="29"/>
  <c r="N5" i="29"/>
  <c r="N4" i="29"/>
  <c r="O4" i="29" s="1"/>
  <c r="M3" i="29"/>
  <c r="N3" i="29" s="1"/>
  <c r="O3" i="29" s="1"/>
  <c r="N2" i="29"/>
  <c r="M2" i="29"/>
  <c r="O2" i="29" s="1"/>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O2" i="19"/>
  <c r="N2" i="19"/>
  <c r="O84" i="56"/>
  <c r="O83" i="56"/>
  <c r="O82" i="56"/>
  <c r="O81" i="56"/>
  <c r="O80" i="56"/>
  <c r="O79" i="56"/>
  <c r="O78" i="56"/>
  <c r="O77" i="56"/>
  <c r="O76" i="56"/>
  <c r="O75" i="56"/>
  <c r="O74" i="56"/>
  <c r="O73" i="56"/>
  <c r="O72" i="56"/>
  <c r="O71" i="56"/>
  <c r="O70" i="56"/>
  <c r="O69" i="56"/>
  <c r="O68" i="56"/>
  <c r="O67" i="56"/>
  <c r="O66" i="56"/>
  <c r="O65" i="56"/>
  <c r="O64" i="56"/>
  <c r="O63" i="56"/>
  <c r="O62" i="56"/>
  <c r="O61" i="56"/>
  <c r="M61" i="56"/>
  <c r="O60" i="56"/>
  <c r="O59" i="56"/>
  <c r="O58" i="56"/>
  <c r="M57" i="56"/>
  <c r="O57" i="56" s="1"/>
  <c r="O56" i="56"/>
  <c r="O55" i="56"/>
  <c r="M54" i="56"/>
  <c r="O54" i="56" s="1"/>
  <c r="O53" i="56"/>
  <c r="O52" i="56"/>
  <c r="O51" i="56"/>
  <c r="O50" i="56"/>
  <c r="O49" i="56"/>
  <c r="O48" i="56"/>
  <c r="O47" i="56"/>
  <c r="O46" i="56"/>
  <c r="O45" i="56"/>
  <c r="O44" i="56"/>
  <c r="O43" i="56"/>
  <c r="O42" i="56"/>
  <c r="O41" i="56"/>
  <c r="O40" i="56"/>
  <c r="O39" i="56"/>
  <c r="O38" i="56"/>
  <c r="O37" i="56"/>
  <c r="O36" i="56"/>
  <c r="O35" i="56"/>
  <c r="O34" i="56"/>
  <c r="O33" i="56"/>
  <c r="O32" i="56"/>
  <c r="O31" i="56"/>
  <c r="O30" i="56"/>
  <c r="O29" i="56"/>
  <c r="O28" i="56"/>
  <c r="O27" i="56"/>
  <c r="O26" i="56"/>
  <c r="O25" i="56"/>
  <c r="O24" i="56"/>
  <c r="O23" i="56"/>
  <c r="O22" i="56"/>
  <c r="O21" i="56"/>
  <c r="O20" i="56"/>
  <c r="O19" i="56"/>
  <c r="O18" i="56"/>
  <c r="O17" i="56"/>
  <c r="O16" i="56"/>
  <c r="O15" i="56"/>
  <c r="O14" i="56"/>
  <c r="O13" i="56"/>
  <c r="O12" i="56"/>
  <c r="O11" i="56"/>
  <c r="O10" i="56"/>
  <c r="O9" i="56"/>
  <c r="O8" i="56"/>
  <c r="O7" i="56"/>
  <c r="O6" i="56"/>
  <c r="O5" i="56"/>
  <c r="O4" i="56"/>
  <c r="N4" i="56"/>
  <c r="O3" i="56"/>
  <c r="O2" i="56"/>
  <c r="N6" i="59"/>
  <c r="O6" i="59" s="1"/>
  <c r="O5" i="59"/>
  <c r="O4" i="59"/>
  <c r="N4" i="59"/>
  <c r="N3" i="59"/>
  <c r="O3" i="59" s="1"/>
  <c r="O2" i="59"/>
  <c r="N2" i="59"/>
  <c r="O65" i="34"/>
  <c r="O64" i="34"/>
  <c r="O63" i="34"/>
  <c r="O62" i="34"/>
  <c r="O61" i="34"/>
  <c r="O60" i="34"/>
  <c r="O59" i="34"/>
  <c r="O58" i="34"/>
  <c r="O57" i="34"/>
  <c r="O56" i="34"/>
  <c r="O55" i="34"/>
  <c r="O54" i="34"/>
  <c r="O53" i="34"/>
  <c r="O52" i="34"/>
  <c r="O51" i="34"/>
  <c r="O50" i="34"/>
  <c r="O49" i="34"/>
  <c r="O48" i="34"/>
  <c r="O47" i="34"/>
  <c r="O46" i="34"/>
  <c r="O45" i="34"/>
  <c r="O44" i="34"/>
  <c r="O43" i="34"/>
  <c r="O42" i="34"/>
  <c r="O41" i="34"/>
  <c r="O40" i="34"/>
  <c r="O39" i="34"/>
  <c r="O38" i="34"/>
  <c r="O37" i="34"/>
  <c r="O36" i="34"/>
  <c r="O35" i="34"/>
  <c r="O34" i="34"/>
  <c r="O33" i="34"/>
  <c r="O32" i="34"/>
  <c r="O31" i="34"/>
  <c r="N30" i="34"/>
  <c r="O30" i="34" s="1"/>
  <c r="N29" i="34"/>
  <c r="O29" i="34" s="1"/>
  <c r="O28" i="34"/>
  <c r="O27" i="34"/>
  <c r="O26" i="34"/>
  <c r="O25" i="34"/>
  <c r="O24" i="34"/>
  <c r="O23" i="34"/>
  <c r="N23" i="34"/>
  <c r="N22" i="34"/>
  <c r="O22" i="34" s="1"/>
  <c r="N21" i="34"/>
  <c r="O21" i="34" s="1"/>
  <c r="O20" i="34"/>
  <c r="O19" i="34"/>
  <c r="O18" i="34"/>
  <c r="O17" i="34"/>
  <c r="O16" i="34"/>
  <c r="O15" i="34"/>
  <c r="O14" i="34"/>
  <c r="O13" i="34"/>
  <c r="O12" i="34"/>
  <c r="O11" i="34"/>
  <c r="O10" i="34"/>
  <c r="O9" i="34"/>
  <c r="O8" i="34"/>
  <c r="O7" i="34"/>
  <c r="O6" i="34"/>
  <c r="O5" i="34"/>
  <c r="O4" i="34"/>
  <c r="O3" i="34"/>
  <c r="O2" i="34"/>
  <c r="N2" i="34"/>
  <c r="O93" i="50"/>
  <c r="O92" i="50"/>
  <c r="O91" i="50"/>
  <c r="O90" i="50"/>
  <c r="O89" i="50"/>
  <c r="O88" i="50"/>
  <c r="O87" i="50"/>
  <c r="O86" i="50"/>
  <c r="O85" i="50"/>
  <c r="O84" i="50"/>
  <c r="O83" i="50"/>
  <c r="O82" i="50"/>
  <c r="N82" i="50"/>
  <c r="O81" i="50"/>
  <c r="O80" i="50"/>
  <c r="O79" i="50"/>
  <c r="N78" i="50"/>
  <c r="O78" i="50" s="1"/>
  <c r="O77" i="50"/>
  <c r="O76" i="50"/>
  <c r="O75" i="50"/>
  <c r="O74" i="50"/>
  <c r="N73" i="50"/>
  <c r="O73" i="50" s="1"/>
  <c r="O72" i="50"/>
  <c r="O71" i="50"/>
  <c r="O70" i="50"/>
  <c r="O69" i="50"/>
  <c r="O68" i="50"/>
  <c r="O67" i="50"/>
  <c r="O66" i="50"/>
  <c r="O65" i="50"/>
  <c r="K65" i="50"/>
  <c r="O64" i="50"/>
  <c r="O63" i="50"/>
  <c r="O62" i="50"/>
  <c r="M62" i="50"/>
  <c r="K62" i="50"/>
  <c r="M61" i="50"/>
  <c r="O61" i="50" s="1"/>
  <c r="K61" i="50"/>
  <c r="O60" i="50"/>
  <c r="O59" i="50"/>
  <c r="O58" i="50"/>
  <c r="O57" i="50"/>
  <c r="O56" i="50"/>
  <c r="O55" i="50"/>
  <c r="O54" i="50"/>
  <c r="O53" i="50"/>
  <c r="O52" i="50"/>
  <c r="O51" i="50"/>
  <c r="O50" i="50"/>
  <c r="O49" i="50"/>
  <c r="O48" i="50"/>
  <c r="O47" i="50"/>
  <c r="O46" i="50"/>
  <c r="O45" i="50"/>
  <c r="O44" i="50"/>
  <c r="N44" i="50"/>
  <c r="O43" i="50"/>
  <c r="N43" i="50"/>
  <c r="O42" i="50"/>
  <c r="O41" i="50"/>
  <c r="O40" i="50"/>
  <c r="N40" i="50"/>
  <c r="O39" i="50"/>
  <c r="O38" i="50"/>
  <c r="O37" i="50"/>
  <c r="N37" i="50"/>
  <c r="N36" i="50"/>
  <c r="O36" i="50" s="1"/>
  <c r="O35" i="50"/>
  <c r="N35" i="50"/>
  <c r="O34" i="50"/>
  <c r="O33" i="50"/>
  <c r="O32" i="50"/>
  <c r="O31" i="50"/>
  <c r="O30" i="50"/>
  <c r="O29" i="50"/>
  <c r="O28" i="50"/>
  <c r="O27" i="50"/>
  <c r="O26" i="50"/>
  <c r="O25" i="50"/>
  <c r="O24" i="50"/>
  <c r="O23" i="50"/>
  <c r="O22" i="50"/>
  <c r="O21" i="50"/>
  <c r="O20" i="50"/>
  <c r="O19" i="50"/>
  <c r="O18" i="50"/>
  <c r="K18" i="50"/>
  <c r="O17" i="50"/>
  <c r="O16" i="50"/>
  <c r="O15" i="50"/>
  <c r="O14" i="50"/>
  <c r="O13" i="50"/>
  <c r="O12" i="50"/>
  <c r="O11" i="50"/>
  <c r="O10" i="50"/>
  <c r="O9" i="50"/>
  <c r="O8" i="50"/>
  <c r="O7" i="50"/>
  <c r="O6" i="50"/>
  <c r="O5" i="50"/>
  <c r="O4" i="50"/>
  <c r="O3" i="50"/>
  <c r="N3" i="50"/>
  <c r="O2" i="50"/>
  <c r="N2" i="50"/>
  <c r="O47" i="2"/>
  <c r="O46" i="2"/>
  <c r="M45" i="2"/>
  <c r="K45" i="2"/>
  <c r="O45" i="2" s="1"/>
  <c r="O44" i="2"/>
  <c r="M43" i="2"/>
  <c r="O43" i="2" s="1"/>
  <c r="K43" i="2"/>
  <c r="O42" i="2"/>
  <c r="M41" i="2"/>
  <c r="K41" i="2"/>
  <c r="O41" i="2" s="1"/>
  <c r="O40" i="2"/>
  <c r="O39" i="2"/>
  <c r="O38" i="2"/>
  <c r="O37" i="2"/>
  <c r="O36" i="2"/>
  <c r="O35" i="2"/>
  <c r="O34" i="2"/>
  <c r="O33" i="2"/>
  <c r="M32" i="2"/>
  <c r="K32" i="2"/>
  <c r="O32" i="2" s="1"/>
  <c r="M31" i="2"/>
  <c r="O31" i="2" s="1"/>
  <c r="O30" i="2"/>
  <c r="O29" i="2"/>
  <c r="M29" i="2"/>
  <c r="K29" i="2"/>
  <c r="O28" i="2"/>
  <c r="O27" i="2"/>
  <c r="M26" i="2"/>
  <c r="O26" i="2" s="1"/>
  <c r="K26" i="2"/>
  <c r="O25" i="2"/>
  <c r="M25" i="2"/>
  <c r="K25" i="2"/>
  <c r="O24" i="2"/>
  <c r="O23" i="2"/>
  <c r="O22" i="2"/>
  <c r="O21" i="2"/>
  <c r="O20" i="2"/>
  <c r="O19" i="2"/>
  <c r="O18" i="2"/>
  <c r="M17" i="2"/>
  <c r="K17" i="2"/>
  <c r="O17" i="2" s="1"/>
  <c r="O16" i="2"/>
  <c r="O15" i="2"/>
  <c r="O14" i="2"/>
  <c r="O13" i="2"/>
  <c r="O12" i="2"/>
  <c r="M11" i="2"/>
  <c r="K11" i="2"/>
  <c r="O11" i="2" s="1"/>
  <c r="O10" i="2"/>
  <c r="O9" i="2"/>
  <c r="O8" i="2"/>
  <c r="O7" i="2"/>
  <c r="M7" i="2"/>
  <c r="K7" i="2"/>
  <c r="O6" i="2"/>
  <c r="O5" i="2"/>
  <c r="M5" i="2"/>
  <c r="K5" i="2"/>
  <c r="M4" i="2"/>
  <c r="O4" i="2" s="1"/>
  <c r="K4" i="2"/>
  <c r="O3" i="2"/>
  <c r="O2" i="2"/>
  <c r="N56" i="53"/>
  <c r="O56" i="53" s="1"/>
  <c r="N55" i="53"/>
  <c r="O55" i="53" s="1"/>
  <c r="O54" i="53"/>
  <c r="N54" i="53"/>
  <c r="N53" i="53"/>
  <c r="O53" i="53" s="1"/>
  <c r="N52" i="53"/>
  <c r="O52" i="53" s="1"/>
  <c r="N51" i="53"/>
  <c r="O51" i="53" s="1"/>
  <c r="O50" i="53"/>
  <c r="O49" i="53"/>
  <c r="N48" i="53"/>
  <c r="O48" i="53" s="1"/>
  <c r="N47" i="53"/>
  <c r="O47" i="53" s="1"/>
  <c r="N46" i="53"/>
  <c r="O46" i="53" s="1"/>
  <c r="O45" i="53"/>
  <c r="K45" i="53"/>
  <c r="N44" i="53"/>
  <c r="O44" i="53" s="1"/>
  <c r="O43" i="53"/>
  <c r="O42" i="53"/>
  <c r="N41" i="53"/>
  <c r="O41" i="53" s="1"/>
  <c r="O40" i="53"/>
  <c r="O39" i="53"/>
  <c r="N38" i="53"/>
  <c r="O38" i="53" s="1"/>
  <c r="N37" i="53"/>
  <c r="O37" i="53" s="1"/>
  <c r="O36" i="53"/>
  <c r="O35" i="53"/>
  <c r="O34" i="53"/>
  <c r="O33" i="53"/>
  <c r="O32" i="53"/>
  <c r="O31" i="53"/>
  <c r="N31" i="53"/>
  <c r="O30" i="53"/>
  <c r="N30" i="53"/>
  <c r="O29" i="53"/>
  <c r="N29" i="53"/>
  <c r="N28" i="53"/>
  <c r="O28" i="53" s="1"/>
  <c r="O27" i="53"/>
  <c r="N27" i="53"/>
  <c r="O26" i="53"/>
  <c r="N26" i="53"/>
  <c r="O25" i="53"/>
  <c r="N25" i="53"/>
  <c r="N24" i="53"/>
  <c r="O24" i="53" s="1"/>
  <c r="O23" i="53"/>
  <c r="N23" i="53"/>
  <c r="O22" i="53"/>
  <c r="N22" i="53"/>
  <c r="O21" i="53"/>
  <c r="N21" i="53"/>
  <c r="N20" i="53"/>
  <c r="O20" i="53" s="1"/>
  <c r="O19" i="53"/>
  <c r="O18" i="53"/>
  <c r="O17" i="53"/>
  <c r="N16" i="53"/>
  <c r="O16" i="53" s="1"/>
  <c r="O15" i="53"/>
  <c r="N14" i="53"/>
  <c r="O14" i="53" s="1"/>
  <c r="O13" i="53"/>
  <c r="N13" i="53"/>
  <c r="O12" i="53"/>
  <c r="N12" i="53"/>
  <c r="O11" i="53"/>
  <c r="O10" i="53"/>
  <c r="N9" i="53"/>
  <c r="O9" i="53" s="1"/>
  <c r="O8" i="53"/>
  <c r="N8" i="53"/>
  <c r="O7" i="53"/>
  <c r="N7" i="53"/>
  <c r="O6" i="53"/>
  <c r="O5" i="53"/>
  <c r="N4" i="53"/>
  <c r="O4" i="53" s="1"/>
  <c r="O3" i="53"/>
  <c r="N3" i="53"/>
  <c r="O2" i="53"/>
  <c r="N2" i="53"/>
  <c r="O80" i="32"/>
  <c r="O79" i="32"/>
  <c r="N78" i="32"/>
  <c r="O78" i="32" s="1"/>
  <c r="O77" i="32"/>
  <c r="O76" i="32"/>
  <c r="O75" i="32"/>
  <c r="O74" i="32"/>
  <c r="O73" i="32"/>
  <c r="O72" i="32"/>
  <c r="N72" i="32"/>
  <c r="N71" i="32"/>
  <c r="O71" i="32" s="1"/>
  <c r="O70" i="32"/>
  <c r="O69" i="32"/>
  <c r="O68" i="32"/>
  <c r="O67" i="32"/>
  <c r="O66" i="32"/>
  <c r="O65" i="32"/>
  <c r="M64" i="32"/>
  <c r="O64" i="32" s="1"/>
  <c r="K64" i="32"/>
  <c r="O63" i="32"/>
  <c r="O62" i="32"/>
  <c r="O61" i="32"/>
  <c r="O60" i="32"/>
  <c r="O59" i="32"/>
  <c r="M58" i="32"/>
  <c r="O58" i="32" s="1"/>
  <c r="K58" i="32"/>
  <c r="O57" i="32"/>
  <c r="O56" i="32"/>
  <c r="M56" i="32"/>
  <c r="K56" i="32"/>
  <c r="O55" i="32"/>
  <c r="M54" i="32"/>
  <c r="O54" i="32" s="1"/>
  <c r="K54" i="32"/>
  <c r="O53" i="32"/>
  <c r="O52" i="32"/>
  <c r="O51" i="32"/>
  <c r="O50" i="32"/>
  <c r="O49" i="32"/>
  <c r="O48" i="32"/>
  <c r="O47" i="32"/>
  <c r="O46" i="32"/>
  <c r="O45" i="32"/>
  <c r="O44" i="32"/>
  <c r="O43" i="32"/>
  <c r="O42" i="32"/>
  <c r="N41" i="32"/>
  <c r="O41" i="32" s="1"/>
  <c r="O40" i="32"/>
  <c r="O39" i="32"/>
  <c r="O38" i="32"/>
  <c r="O37" i="32"/>
  <c r="O36" i="32"/>
  <c r="N35" i="32"/>
  <c r="O35" i="32" s="1"/>
  <c r="N34" i="32"/>
  <c r="O34" i="32" s="1"/>
  <c r="N33" i="32"/>
  <c r="O33" i="32" s="1"/>
  <c r="O32" i="32"/>
  <c r="N32" i="32"/>
  <c r="O31" i="32"/>
  <c r="O30" i="32"/>
  <c r="O29" i="32"/>
  <c r="O28" i="32"/>
  <c r="K28" i="32"/>
  <c r="O27" i="32"/>
  <c r="O26" i="32"/>
  <c r="M25" i="32"/>
  <c r="K25" i="32"/>
  <c r="O25" i="32" s="1"/>
  <c r="O24" i="32"/>
  <c r="O23" i="32"/>
  <c r="O22" i="32"/>
  <c r="M21" i="32"/>
  <c r="O21" i="32" s="1"/>
  <c r="K21" i="32"/>
  <c r="N20" i="32"/>
  <c r="M20" i="32"/>
  <c r="K20" i="32"/>
  <c r="O20" i="32" s="1"/>
  <c r="M19" i="32"/>
  <c r="K19" i="32"/>
  <c r="O19" i="32" s="1"/>
  <c r="O18" i="32"/>
  <c r="O17" i="32"/>
  <c r="O16" i="32"/>
  <c r="O15" i="32"/>
  <c r="O14" i="32"/>
  <c r="O13" i="32"/>
  <c r="O12" i="32"/>
  <c r="O11" i="32"/>
  <c r="O10" i="32"/>
  <c r="O9" i="32"/>
  <c r="M8" i="32"/>
  <c r="K8" i="32"/>
  <c r="O8" i="32" s="1"/>
  <c r="M7" i="32"/>
  <c r="K7" i="32"/>
  <c r="O7" i="32" s="1"/>
  <c r="O6" i="32"/>
  <c r="O5" i="32"/>
  <c r="O4" i="32"/>
  <c r="N3" i="32"/>
  <c r="O3" i="32" s="1"/>
  <c r="N2" i="32"/>
  <c r="O2" i="32" s="1"/>
  <c r="V46" i="38"/>
  <c r="V45" i="38"/>
  <c r="V44" i="38"/>
  <c r="V43" i="38"/>
  <c r="V42" i="38"/>
  <c r="V41" i="38"/>
  <c r="V40" i="38"/>
  <c r="V39" i="38"/>
  <c r="T39" i="38"/>
  <c r="R39" i="38"/>
  <c r="T38" i="38"/>
  <c r="V38" i="38" s="1"/>
  <c r="V37" i="38"/>
  <c r="U36" i="38"/>
  <c r="V36" i="38" s="1"/>
  <c r="V35" i="38"/>
  <c r="U35" i="38"/>
  <c r="U34" i="38"/>
  <c r="V34" i="38" s="1"/>
  <c r="T33" i="38"/>
  <c r="R33" i="38"/>
  <c r="V33" i="38" s="1"/>
  <c r="T32" i="38"/>
  <c r="V32" i="38" s="1"/>
  <c r="R32" i="38"/>
  <c r="V31" i="38"/>
  <c r="V30" i="38"/>
  <c r="T30" i="38"/>
  <c r="T29" i="38"/>
  <c r="R29" i="38"/>
  <c r="V29" i="38" s="1"/>
  <c r="V28" i="38"/>
  <c r="V27" i="38"/>
  <c r="V26" i="38"/>
  <c r="V25" i="38"/>
  <c r="V24" i="38"/>
  <c r="V23" i="38"/>
  <c r="V22" i="38"/>
  <c r="T21" i="38"/>
  <c r="V21" i="38" s="1"/>
  <c r="V20" i="38"/>
  <c r="U19" i="38"/>
  <c r="V19" i="38" s="1"/>
  <c r="U18" i="38"/>
  <c r="V18" i="38" s="1"/>
  <c r="T17" i="38"/>
  <c r="R17" i="38"/>
  <c r="V17" i="38" s="1"/>
  <c r="V16" i="38"/>
  <c r="V15" i="38"/>
  <c r="T14" i="38"/>
  <c r="R14" i="38"/>
  <c r="V14" i="38" s="1"/>
  <c r="V13" i="38"/>
  <c r="V12" i="38"/>
  <c r="T11" i="38"/>
  <c r="U11" i="38" s="1"/>
  <c r="V11" i="38" s="1"/>
  <c r="R11" i="38"/>
  <c r="V10" i="38"/>
  <c r="V9" i="38"/>
  <c r="V8" i="38"/>
  <c r="U7" i="38"/>
  <c r="V7" i="38" s="1"/>
  <c r="V6" i="38"/>
  <c r="V5" i="38"/>
  <c r="V4" i="38"/>
  <c r="U3" i="38"/>
  <c r="V3" i="38" s="1"/>
  <c r="U2" i="38"/>
  <c r="V2" i="38" s="1"/>
  <c r="N11" i="46"/>
  <c r="O11" i="46" s="1"/>
  <c r="O10" i="46"/>
  <c r="O9" i="46"/>
  <c r="O8" i="46"/>
  <c r="O7" i="46"/>
  <c r="O6" i="46"/>
  <c r="O5" i="46"/>
  <c r="M5" i="46"/>
  <c r="N4" i="46"/>
  <c r="O4" i="46" s="1"/>
  <c r="N3" i="46"/>
  <c r="O3" i="46" s="1"/>
  <c r="N2" i="46"/>
  <c r="O2" i="46" s="1"/>
  <c r="O37" i="52"/>
  <c r="O36" i="52"/>
  <c r="O35" i="52"/>
  <c r="O34" i="52"/>
  <c r="O33" i="52"/>
  <c r="O32" i="52"/>
  <c r="O31" i="52"/>
  <c r="M30" i="52"/>
  <c r="O30" i="52" s="1"/>
  <c r="O29" i="52"/>
  <c r="N28" i="52"/>
  <c r="O28" i="52" s="1"/>
  <c r="N27" i="52"/>
  <c r="O27" i="52" s="1"/>
  <c r="N26" i="52"/>
  <c r="O26" i="52" s="1"/>
  <c r="O25" i="52"/>
  <c r="O24" i="52"/>
  <c r="O23" i="52"/>
  <c r="O22" i="52"/>
  <c r="O21" i="52"/>
  <c r="O20" i="52"/>
  <c r="O19" i="52"/>
  <c r="O18" i="52"/>
  <c r="O17" i="52"/>
  <c r="O16" i="52"/>
  <c r="O15" i="52"/>
  <c r="O14" i="52"/>
  <c r="O13" i="52"/>
  <c r="O12" i="52"/>
  <c r="O11" i="52"/>
  <c r="O10" i="52"/>
  <c r="O9" i="52"/>
  <c r="O8" i="52"/>
  <c r="O7" i="52"/>
  <c r="O6" i="52"/>
  <c r="O5" i="52"/>
  <c r="O4" i="52"/>
  <c r="O3" i="52"/>
  <c r="O2" i="52"/>
  <c r="O50" i="27"/>
  <c r="O49" i="27"/>
  <c r="N48" i="27"/>
  <c r="O48" i="27" s="1"/>
  <c r="N47" i="27"/>
  <c r="O47" i="27" s="1"/>
  <c r="N46" i="27"/>
  <c r="O46" i="27" s="1"/>
  <c r="N45" i="27"/>
  <c r="O45" i="27" s="1"/>
  <c r="O44" i="27"/>
  <c r="O43" i="27"/>
  <c r="N43" i="27"/>
  <c r="O42" i="27"/>
  <c r="N42" i="27"/>
  <c r="O41" i="27"/>
  <c r="N41" i="27"/>
  <c r="O40" i="27"/>
  <c r="N40" i="27"/>
  <c r="O39" i="27"/>
  <c r="N39" i="27"/>
  <c r="O38" i="27"/>
  <c r="N38" i="27"/>
  <c r="O37" i="27"/>
  <c r="O36" i="27"/>
  <c r="O35" i="27"/>
  <c r="N35" i="27"/>
  <c r="O34" i="27"/>
  <c r="N34" i="27"/>
  <c r="O33" i="27"/>
  <c r="N33" i="27"/>
  <c r="O32" i="27"/>
  <c r="N32" i="27"/>
  <c r="O31" i="27"/>
  <c r="O30" i="27"/>
  <c r="O29" i="27"/>
  <c r="O28" i="27"/>
  <c r="O27" i="27"/>
  <c r="O26" i="27"/>
  <c r="O25" i="27"/>
  <c r="N24" i="27"/>
  <c r="O24" i="27" s="1"/>
  <c r="N23" i="27"/>
  <c r="O23" i="27" s="1"/>
  <c r="N22" i="27"/>
  <c r="O22" i="27" s="1"/>
  <c r="O21" i="27"/>
  <c r="O20" i="27"/>
  <c r="N19" i="27"/>
  <c r="O19" i="27" s="1"/>
  <c r="N18" i="27"/>
  <c r="O18" i="27" s="1"/>
  <c r="O17" i="27"/>
  <c r="O16" i="27"/>
  <c r="N16" i="27"/>
  <c r="O15" i="27"/>
  <c r="N15" i="27"/>
  <c r="O14" i="27"/>
  <c r="N13" i="27"/>
  <c r="O13" i="27" s="1"/>
  <c r="O12" i="27"/>
  <c r="O11" i="27"/>
  <c r="N10" i="27"/>
  <c r="O10" i="27" s="1"/>
  <c r="N9" i="27"/>
  <c r="O9" i="27" s="1"/>
  <c r="N8" i="27"/>
  <c r="O8" i="27" s="1"/>
  <c r="N7" i="27"/>
  <c r="O7" i="27" s="1"/>
  <c r="N6" i="27"/>
  <c r="O6" i="27" s="1"/>
  <c r="N5" i="27"/>
  <c r="O5" i="27" s="1"/>
  <c r="N4" i="27"/>
  <c r="O4" i="27" s="1"/>
  <c r="N3" i="27"/>
  <c r="O3" i="27" s="1"/>
  <c r="N2" i="27"/>
  <c r="O2" i="27" s="1"/>
  <c r="N9" i="25" l="1"/>
  <c r="O9" i="25" s="1"/>
  <c r="N13" i="25"/>
  <c r="O13" i="25" s="1"/>
  <c r="N14" i="25"/>
  <c r="O14" i="25" s="1"/>
  <c r="N2" i="22"/>
  <c r="O2" i="22" s="1"/>
  <c r="N8" i="29"/>
  <c r="O8" i="29" s="1"/>
  <c r="N9" i="29"/>
  <c r="O9" i="29" s="1"/>
  <c r="O762" i="1"/>
  <c r="O753" i="1"/>
  <c r="O746" i="1"/>
  <c r="O761" i="1"/>
  <c r="O748" i="1"/>
  <c r="O745" i="1"/>
  <c r="O755" i="1"/>
  <c r="O754" i="1"/>
  <c r="O749" i="1"/>
  <c r="O752" i="1"/>
  <c r="O747" i="1"/>
  <c r="O750" i="1"/>
  <c r="O751" i="1"/>
  <c r="O759" i="1"/>
  <c r="O757" i="1"/>
  <c r="M757" i="1"/>
  <c r="O763" i="1" l="1"/>
  <c r="O756" i="1"/>
  <c r="O758" i="1"/>
  <c r="O760" i="1"/>
  <c r="M760" i="1"/>
  <c r="K744" i="1"/>
  <c r="N729" i="1"/>
  <c r="O729" i="1" s="1"/>
  <c r="N728" i="1"/>
  <c r="O728" i="1" s="1"/>
  <c r="N727" i="1"/>
  <c r="O727" i="1" s="1"/>
  <c r="M725" i="1"/>
  <c r="K725" i="1"/>
  <c r="O725" i="1" s="1"/>
  <c r="N723" i="1"/>
  <c r="O723" i="1" s="1"/>
  <c r="N722" i="1"/>
  <c r="O722" i="1" s="1"/>
  <c r="M705" i="1"/>
  <c r="M704" i="1"/>
  <c r="K704" i="1"/>
  <c r="O704" i="1" s="1"/>
  <c r="M713" i="1"/>
  <c r="N713" i="1" s="1"/>
  <c r="O767" i="1"/>
  <c r="O766" i="1"/>
  <c r="F766" i="1"/>
  <c r="O765" i="1"/>
  <c r="M764" i="1"/>
  <c r="O764" i="1" s="1"/>
  <c r="O744" i="1"/>
  <c r="O743" i="1"/>
  <c r="O742" i="1"/>
  <c r="O741" i="1"/>
  <c r="O740" i="1"/>
  <c r="O739" i="1"/>
  <c r="O738" i="1"/>
  <c r="N737" i="1"/>
  <c r="O737" i="1" s="1"/>
  <c r="O736" i="1"/>
  <c r="N735" i="1"/>
  <c r="N734" i="1"/>
  <c r="O734" i="1" s="1"/>
  <c r="N733" i="1"/>
  <c r="O733" i="1" s="1"/>
  <c r="O732" i="1"/>
  <c r="O731" i="1"/>
  <c r="O730" i="1"/>
  <c r="O726" i="1"/>
  <c r="O724" i="1"/>
  <c r="N721" i="1"/>
  <c r="O721" i="1" s="1"/>
  <c r="O720" i="1"/>
  <c r="K719" i="1"/>
  <c r="M719" i="1" s="1"/>
  <c r="O718" i="1"/>
  <c r="O717" i="1"/>
  <c r="O716" i="1"/>
  <c r="O715" i="1"/>
  <c r="O714" i="1"/>
  <c r="O712" i="1"/>
  <c r="O711" i="1"/>
  <c r="O710" i="1"/>
  <c r="K709" i="1"/>
  <c r="M709" i="1" s="1"/>
  <c r="O709" i="1" s="1"/>
  <c r="O708" i="1"/>
  <c r="O707" i="1"/>
  <c r="O706" i="1"/>
  <c r="K705" i="1"/>
  <c r="M703" i="1"/>
  <c r="O703" i="1" s="1"/>
  <c r="M702" i="1"/>
  <c r="O702" i="1" s="1"/>
  <c r="O701" i="1"/>
  <c r="O713" i="1" l="1"/>
  <c r="O705" i="1"/>
  <c r="O735" i="1"/>
  <c r="O719" i="1"/>
  <c r="N13" i="9" l="1"/>
  <c r="O13" i="9" s="1"/>
  <c r="N12" i="9"/>
  <c r="O12" i="9" s="1"/>
  <c r="O11" i="9"/>
  <c r="O10" i="9"/>
  <c r="O9" i="9"/>
  <c r="O8" i="9"/>
  <c r="N8" i="9"/>
  <c r="M7" i="9"/>
  <c r="N6" i="9"/>
  <c r="O6" i="9" s="1"/>
  <c r="N5" i="9"/>
  <c r="O5" i="9" s="1"/>
  <c r="N4" i="9"/>
  <c r="O4" i="9" s="1"/>
  <c r="O3" i="9"/>
  <c r="N2" i="9"/>
  <c r="O2" i="9" s="1"/>
  <c r="O1009" i="1"/>
  <c r="O1014" i="1"/>
  <c r="O1013" i="1"/>
  <c r="O1012" i="1"/>
  <c r="O1011" i="1"/>
  <c r="O1010" i="1"/>
  <c r="N1008" i="1"/>
  <c r="O1008" i="1" s="1"/>
  <c r="N1007" i="1"/>
  <c r="O1007" i="1" s="1"/>
  <c r="O1006" i="1"/>
  <c r="O1005" i="1"/>
  <c r="O1004" i="1"/>
  <c r="O1003" i="1"/>
  <c r="J1027" i="1"/>
  <c r="N7" i="9" l="1"/>
  <c r="O7" i="9" s="1"/>
  <c r="O3" i="58"/>
  <c r="O2" i="58"/>
  <c r="N23" i="54"/>
  <c r="O23" i="54" s="1"/>
  <c r="N22" i="54"/>
  <c r="O22" i="54" s="1"/>
  <c r="O21" i="54"/>
  <c r="N21" i="54"/>
  <c r="N20" i="54"/>
  <c r="O20" i="54" s="1"/>
  <c r="N19" i="54"/>
  <c r="O19" i="54" s="1"/>
  <c r="O18" i="54"/>
  <c r="O17" i="54"/>
  <c r="O16" i="54"/>
  <c r="N16" i="54"/>
  <c r="N15" i="54"/>
  <c r="O15" i="54" s="1"/>
  <c r="O14" i="54"/>
  <c r="O13" i="54"/>
  <c r="N13" i="54"/>
  <c r="N12" i="54"/>
  <c r="O12" i="54" s="1"/>
  <c r="N11" i="54"/>
  <c r="O11" i="54" s="1"/>
  <c r="O10" i="54"/>
  <c r="N10" i="54"/>
  <c r="O9" i="54"/>
  <c r="N9" i="54"/>
  <c r="N8" i="54"/>
  <c r="O8" i="54" s="1"/>
  <c r="N7" i="54"/>
  <c r="O7" i="54" s="1"/>
  <c r="O6" i="54"/>
  <c r="N5" i="54"/>
  <c r="O5" i="54" s="1"/>
  <c r="O4" i="54"/>
  <c r="N3" i="54"/>
  <c r="O3" i="54" s="1"/>
  <c r="N2" i="54"/>
  <c r="O2" i="54" s="1"/>
  <c r="O109" i="49"/>
  <c r="O108" i="49"/>
  <c r="O107" i="49"/>
  <c r="O106" i="49"/>
  <c r="O105" i="49"/>
  <c r="O104" i="49"/>
  <c r="O103" i="49"/>
  <c r="O102" i="49"/>
  <c r="O101" i="49"/>
  <c r="O100" i="49"/>
  <c r="O99" i="49"/>
  <c r="O98" i="49"/>
  <c r="O97" i="49"/>
  <c r="O96" i="49"/>
  <c r="O95" i="49"/>
  <c r="O94" i="49"/>
  <c r="O93" i="49"/>
  <c r="O92" i="49"/>
  <c r="O91" i="49"/>
  <c r="O90" i="49"/>
  <c r="O89" i="49"/>
  <c r="O88" i="49"/>
  <c r="O87" i="49"/>
  <c r="O86" i="49"/>
  <c r="O85" i="49"/>
  <c r="O84" i="49"/>
  <c r="O83" i="49"/>
  <c r="O82" i="49"/>
  <c r="O81" i="49"/>
  <c r="O80" i="49"/>
  <c r="O79" i="49"/>
  <c r="O78" i="49"/>
  <c r="O77" i="49"/>
  <c r="O76" i="49"/>
  <c r="O75" i="49"/>
  <c r="O74" i="49"/>
  <c r="O73" i="49"/>
  <c r="O72" i="49"/>
  <c r="O71" i="49"/>
  <c r="O70" i="49"/>
  <c r="O69" i="49"/>
  <c r="O68" i="49"/>
  <c r="O67" i="49"/>
  <c r="O66" i="49"/>
  <c r="O65" i="49"/>
  <c r="O64" i="49"/>
  <c r="O63" i="49"/>
  <c r="O62" i="49"/>
  <c r="O61" i="49"/>
  <c r="O60" i="49"/>
  <c r="O59" i="49"/>
  <c r="O58" i="49"/>
  <c r="O57" i="49"/>
  <c r="O56" i="49"/>
  <c r="O55" i="49"/>
  <c r="O54" i="49"/>
  <c r="O53" i="49"/>
  <c r="O52" i="49"/>
  <c r="O51" i="49"/>
  <c r="O50" i="49"/>
  <c r="O49" i="49"/>
  <c r="O48" i="49"/>
  <c r="O47" i="49"/>
  <c r="O46" i="49"/>
  <c r="O45" i="49"/>
  <c r="O44" i="49"/>
  <c r="O43" i="49"/>
  <c r="O42" i="49"/>
  <c r="O41" i="49"/>
  <c r="O40" i="49"/>
  <c r="O39" i="49"/>
  <c r="O38" i="49"/>
  <c r="O37" i="49"/>
  <c r="O36" i="49"/>
  <c r="O35" i="49"/>
  <c r="O34" i="49"/>
  <c r="O33" i="49"/>
  <c r="O32" i="49"/>
  <c r="O31" i="49"/>
  <c r="O30" i="49"/>
  <c r="O29" i="49"/>
  <c r="O28" i="49"/>
  <c r="O27" i="49"/>
  <c r="O26" i="49"/>
  <c r="O25" i="49"/>
  <c r="O24" i="49"/>
  <c r="O23" i="49"/>
  <c r="O22" i="49"/>
  <c r="O21" i="49"/>
  <c r="N20" i="49"/>
  <c r="O20" i="49" s="1"/>
  <c r="N19" i="49"/>
  <c r="O19" i="49" s="1"/>
  <c r="N18" i="49"/>
  <c r="O18" i="49" s="1"/>
  <c r="N17" i="49"/>
  <c r="O17" i="49" s="1"/>
  <c r="N16" i="49"/>
  <c r="O16" i="49" s="1"/>
  <c r="N15" i="49"/>
  <c r="O15" i="49" s="1"/>
  <c r="N14" i="49"/>
  <c r="O14" i="49" s="1"/>
  <c r="N13" i="49"/>
  <c r="O13" i="49" s="1"/>
  <c r="N12" i="49"/>
  <c r="O12" i="49" s="1"/>
  <c r="O11" i="49"/>
  <c r="N11" i="49"/>
  <c r="N10" i="49"/>
  <c r="O10" i="49" s="1"/>
  <c r="N9" i="49"/>
  <c r="O9" i="49" s="1"/>
  <c r="N8" i="49"/>
  <c r="O8" i="49" s="1"/>
  <c r="O7" i="49"/>
  <c r="N7" i="49"/>
  <c r="N6" i="49"/>
  <c r="O6" i="49" s="1"/>
  <c r="N5" i="49"/>
  <c r="O5" i="49" s="1"/>
  <c r="N4" i="49"/>
  <c r="O4" i="49" s="1"/>
  <c r="O3" i="49"/>
  <c r="N3" i="49"/>
  <c r="N2" i="49"/>
  <c r="O2" i="49" s="1"/>
  <c r="N3" i="43"/>
  <c r="O3" i="43" s="1"/>
  <c r="N2" i="43"/>
  <c r="O2" i="43" s="1"/>
  <c r="N2" i="42"/>
  <c r="O2" i="42" s="1"/>
  <c r="O2" i="37"/>
  <c r="N4" i="36"/>
  <c r="O4" i="36" s="1"/>
  <c r="N3" i="36"/>
  <c r="O3" i="36" s="1"/>
  <c r="N2" i="36"/>
  <c r="O2" i="36" s="1"/>
  <c r="O19" i="33"/>
  <c r="O18" i="33"/>
  <c r="N18" i="33"/>
  <c r="O17" i="33"/>
  <c r="O16" i="33"/>
  <c r="O15" i="33"/>
  <c r="N14" i="33"/>
  <c r="O14" i="33" s="1"/>
  <c r="N13" i="33"/>
  <c r="O13" i="33" s="1"/>
  <c r="O12" i="33"/>
  <c r="O11" i="33"/>
  <c r="O10" i="33"/>
  <c r="O9" i="33"/>
  <c r="N8" i="33"/>
  <c r="O8" i="33" s="1"/>
  <c r="N7" i="33"/>
  <c r="O7" i="33" s="1"/>
  <c r="N6" i="33"/>
  <c r="O6" i="33" s="1"/>
  <c r="O5" i="33"/>
  <c r="O4" i="33"/>
  <c r="N3" i="33"/>
  <c r="O3" i="33" s="1"/>
  <c r="N2" i="33"/>
  <c r="O2" i="33" s="1"/>
  <c r="N15" i="30"/>
  <c r="O15" i="30" s="1"/>
  <c r="O14" i="30"/>
  <c r="O13" i="30"/>
  <c r="O12" i="30"/>
  <c r="N11" i="30"/>
  <c r="O11" i="30" s="1"/>
  <c r="O10" i="30"/>
  <c r="O9" i="30"/>
  <c r="O8" i="30"/>
  <c r="M7" i="30"/>
  <c r="K7" i="30"/>
  <c r="O7" i="30" s="1"/>
  <c r="O6" i="30"/>
  <c r="N5" i="30"/>
  <c r="O5" i="30" s="1"/>
  <c r="N4" i="30"/>
  <c r="O4" i="30" s="1"/>
  <c r="O3" i="30"/>
  <c r="N2" i="30"/>
  <c r="O2" i="30" s="1"/>
  <c r="O14" i="28"/>
  <c r="O13" i="28"/>
  <c r="N12" i="28"/>
  <c r="O12" i="28" s="1"/>
  <c r="O11" i="28"/>
  <c r="O10" i="28"/>
  <c r="O9" i="28"/>
  <c r="O8" i="28"/>
  <c r="N8" i="28"/>
  <c r="N7" i="28"/>
  <c r="O7" i="28" s="1"/>
  <c r="N6" i="28"/>
  <c r="O6" i="28" s="1"/>
  <c r="O5" i="28"/>
  <c r="N5" i="28"/>
  <c r="M5" i="28"/>
  <c r="M4" i="28"/>
  <c r="N3" i="28"/>
  <c r="O3" i="28" s="1"/>
  <c r="O2" i="28"/>
  <c r="M700" i="1"/>
  <c r="N700" i="1" s="1"/>
  <c r="M970" i="1"/>
  <c r="N970" i="1"/>
  <c r="M969" i="1"/>
  <c r="N969" i="1" s="1"/>
  <c r="O3" i="23"/>
  <c r="O2" i="23"/>
  <c r="O2" i="21"/>
  <c r="O17" i="18"/>
  <c r="O16" i="18"/>
  <c r="N15" i="18"/>
  <c r="O15" i="18" s="1"/>
  <c r="N14" i="18"/>
  <c r="O14" i="18" s="1"/>
  <c r="N13" i="18"/>
  <c r="O13" i="18" s="1"/>
  <c r="O12" i="18"/>
  <c r="O11" i="18"/>
  <c r="O10" i="18"/>
  <c r="O9" i="18"/>
  <c r="O8" i="18"/>
  <c r="O7" i="18"/>
  <c r="O6" i="18"/>
  <c r="O5" i="18"/>
  <c r="O4" i="18"/>
  <c r="O3" i="18"/>
  <c r="O2" i="18"/>
  <c r="O11" i="15"/>
  <c r="M10" i="15"/>
  <c r="N10" i="15" s="1"/>
  <c r="O10" i="15" s="1"/>
  <c r="N9" i="15"/>
  <c r="O9" i="15" s="1"/>
  <c r="N8" i="15"/>
  <c r="O8" i="15" s="1"/>
  <c r="N7" i="15"/>
  <c r="O7" i="15" s="1"/>
  <c r="N6" i="15"/>
  <c r="O6" i="15" s="1"/>
  <c r="N5" i="15"/>
  <c r="O5" i="15" s="1"/>
  <c r="O4" i="15"/>
  <c r="O3" i="15"/>
  <c r="N3" i="15"/>
  <c r="O2" i="15"/>
  <c r="N2" i="15"/>
  <c r="O4" i="14"/>
  <c r="O3" i="14"/>
  <c r="N2" i="14"/>
  <c r="O2" i="14" s="1"/>
  <c r="O7" i="13"/>
  <c r="O6" i="13"/>
  <c r="N5" i="13"/>
  <c r="O5" i="13" s="1"/>
  <c r="O4" i="13"/>
  <c r="N4" i="13"/>
  <c r="O3" i="13"/>
  <c r="O2" i="13"/>
  <c r="O9" i="12"/>
  <c r="O8" i="12"/>
  <c r="O7" i="12"/>
  <c r="O6" i="12"/>
  <c r="O5" i="12"/>
  <c r="O4" i="12"/>
  <c r="N4" i="12"/>
  <c r="O3" i="12"/>
  <c r="N3" i="12"/>
  <c r="O2" i="12"/>
  <c r="N2" i="12"/>
  <c r="O7" i="10"/>
  <c r="O6" i="10"/>
  <c r="O5" i="10"/>
  <c r="O4" i="10"/>
  <c r="O3" i="10"/>
  <c r="O2" i="10"/>
  <c r="O2" i="8"/>
  <c r="O3" i="7"/>
  <c r="O2" i="7"/>
  <c r="O6" i="4"/>
  <c r="N6" i="4"/>
  <c r="N5" i="4"/>
  <c r="O5" i="4" s="1"/>
  <c r="N4" i="4"/>
  <c r="O4" i="4" s="1"/>
  <c r="N3" i="4"/>
  <c r="O3" i="4" s="1"/>
  <c r="O2" i="4"/>
  <c r="N2" i="4"/>
  <c r="O5" i="3"/>
  <c r="O4" i="3"/>
  <c r="O3" i="3"/>
  <c r="N2" i="3"/>
  <c r="O2" i="3" s="1"/>
  <c r="N4" i="28" l="1"/>
  <c r="O4" i="28" s="1"/>
  <c r="M687" i="1"/>
  <c r="K687" i="1"/>
  <c r="M686" i="1"/>
  <c r="K686" i="1"/>
  <c r="M679" i="1"/>
  <c r="K679" i="1"/>
  <c r="M677" i="1"/>
  <c r="M674" i="1"/>
  <c r="K674" i="1"/>
  <c r="M673" i="1"/>
  <c r="K673" i="1"/>
  <c r="O489" i="1" l="1"/>
  <c r="O490" i="1"/>
  <c r="O491" i="1"/>
  <c r="N494" i="1"/>
  <c r="O493" i="1"/>
  <c r="O492" i="1"/>
  <c r="M488" i="1"/>
  <c r="K488" i="1"/>
  <c r="O487" i="1"/>
  <c r="O486" i="1"/>
  <c r="M237" i="1"/>
  <c r="N234" i="1"/>
  <c r="N235" i="1"/>
  <c r="N246" i="1"/>
  <c r="N247" i="1"/>
  <c r="N244" i="1"/>
  <c r="M242" i="1"/>
  <c r="N242" i="1" s="1"/>
  <c r="K242" i="1"/>
  <c r="M243" i="1"/>
  <c r="N243" i="1" s="1"/>
  <c r="M252" i="1"/>
  <c r="M438" i="1"/>
  <c r="O488" i="1" l="1"/>
  <c r="K832" i="1"/>
  <c r="M830" i="1"/>
  <c r="M458" i="1" l="1"/>
  <c r="K458" i="1"/>
  <c r="K177" i="1" l="1"/>
  <c r="O213" i="1" l="1"/>
  <c r="K343" i="1"/>
  <c r="M342" i="1"/>
  <c r="M341" i="1"/>
  <c r="M336" i="1"/>
  <c r="M444" i="1"/>
  <c r="M440" i="1"/>
  <c r="M439" i="1"/>
  <c r="M430" i="1"/>
  <c r="K430" i="1"/>
  <c r="M980" i="1"/>
  <c r="K980" i="1"/>
  <c r="N978" i="1"/>
  <c r="M976" i="1"/>
  <c r="K976" i="1"/>
  <c r="N973" i="1"/>
  <c r="M960" i="1"/>
  <c r="K960" i="1"/>
  <c r="M844" i="1" l="1"/>
  <c r="K844" i="1"/>
  <c r="O933" i="1" l="1"/>
  <c r="O927" i="1"/>
  <c r="O926" i="1"/>
  <c r="O925" i="1"/>
  <c r="O924" i="1"/>
  <c r="O340" i="1"/>
  <c r="O339" i="1"/>
  <c r="O338" i="1"/>
  <c r="O317" i="1" l="1"/>
  <c r="O21" i="1"/>
  <c r="N3" i="35" l="1"/>
  <c r="O3" i="35" s="1"/>
  <c r="N2" i="35"/>
  <c r="O2" i="35" s="1"/>
  <c r="O10" i="12"/>
  <c r="O956" i="1"/>
  <c r="O923" i="1"/>
  <c r="O922" i="1"/>
  <c r="O921" i="1"/>
  <c r="O920" i="1"/>
  <c r="O919" i="1"/>
  <c r="O918" i="1"/>
  <c r="O917" i="1"/>
  <c r="O916" i="1"/>
  <c r="O915" i="1"/>
  <c r="O914" i="1"/>
  <c r="N530" i="1"/>
  <c r="N531" i="1"/>
  <c r="O485" i="1"/>
  <c r="O423" i="1"/>
  <c r="O325" i="1"/>
  <c r="O318" i="1"/>
  <c r="O319" i="1"/>
  <c r="O277" i="1"/>
  <c r="O276" i="1"/>
  <c r="N241" i="1"/>
  <c r="O231" i="1"/>
  <c r="N212" i="1"/>
  <c r="O183" i="1"/>
  <c r="O173" i="1"/>
  <c r="O66" i="1"/>
  <c r="O65" i="1"/>
  <c r="O64" i="1"/>
  <c r="O63" i="1"/>
  <c r="O54" i="1"/>
  <c r="O53" i="1"/>
  <c r="O34" i="1"/>
  <c r="O33" i="1"/>
  <c r="M31" i="1"/>
  <c r="M23" i="1"/>
  <c r="M30" i="1"/>
  <c r="N28" i="1"/>
  <c r="O28" i="1" s="1"/>
  <c r="N27" i="1"/>
  <c r="O27" i="1" s="1"/>
  <c r="N29" i="1"/>
  <c r="O25" i="1"/>
  <c r="O8" i="1" l="1"/>
  <c r="O1002" i="1"/>
  <c r="O1001" i="1"/>
  <c r="O1000" i="1"/>
  <c r="O999" i="1"/>
  <c r="O998" i="1"/>
  <c r="O997" i="1"/>
  <c r="O996" i="1"/>
  <c r="O995" i="1"/>
  <c r="O994" i="1"/>
  <c r="O993" i="1"/>
  <c r="O992" i="1"/>
  <c r="O991" i="1"/>
  <c r="O990" i="1"/>
  <c r="O989" i="1"/>
  <c r="O988" i="1"/>
  <c r="O986" i="1"/>
  <c r="O985" i="1"/>
  <c r="O980" i="1"/>
  <c r="O979" i="1"/>
  <c r="O978" i="1"/>
  <c r="O976" i="1"/>
  <c r="O975" i="1"/>
  <c r="O974" i="1"/>
  <c r="O968" i="1"/>
  <c r="O967" i="1"/>
  <c r="O966" i="1"/>
  <c r="O965" i="1"/>
  <c r="O964" i="1"/>
  <c r="O963" i="1"/>
  <c r="O962" i="1"/>
  <c r="O961" i="1"/>
  <c r="O960" i="1"/>
  <c r="O959" i="1"/>
  <c r="O958" i="1"/>
  <c r="O957" i="1"/>
  <c r="O955" i="1"/>
  <c r="O954" i="1"/>
  <c r="O953" i="1"/>
  <c r="O952" i="1"/>
  <c r="O951" i="1"/>
  <c r="O950" i="1"/>
  <c r="O949" i="1"/>
  <c r="O948" i="1"/>
  <c r="O947" i="1"/>
  <c r="O946" i="1"/>
  <c r="O944" i="1"/>
  <c r="O943" i="1"/>
  <c r="O940" i="1"/>
  <c r="O939" i="1"/>
  <c r="O938" i="1"/>
  <c r="O937" i="1"/>
  <c r="O936" i="1"/>
  <c r="O935" i="1"/>
  <c r="O934" i="1"/>
  <c r="O932" i="1"/>
  <c r="O931" i="1"/>
  <c r="O930" i="1"/>
  <c r="O928" i="1"/>
  <c r="O913" i="1"/>
  <c r="O912" i="1"/>
  <c r="O910" i="1"/>
  <c r="O909" i="1"/>
  <c r="O908" i="1"/>
  <c r="O906" i="1"/>
  <c r="O905" i="1"/>
  <c r="O904" i="1"/>
  <c r="O903" i="1"/>
  <c r="O897" i="1"/>
  <c r="O896" i="1"/>
  <c r="O895" i="1"/>
  <c r="O894" i="1"/>
  <c r="O893" i="1"/>
  <c r="O892" i="1"/>
  <c r="O891" i="1"/>
  <c r="O890" i="1"/>
  <c r="O889" i="1"/>
  <c r="O888" i="1"/>
  <c r="O887" i="1"/>
  <c r="O886" i="1"/>
  <c r="O885" i="1"/>
  <c r="O884" i="1"/>
  <c r="O883" i="1"/>
  <c r="O882" i="1"/>
  <c r="O880" i="1"/>
  <c r="O879" i="1"/>
  <c r="O878" i="1"/>
  <c r="O876" i="1"/>
  <c r="O875" i="1"/>
  <c r="O874" i="1"/>
  <c r="O873" i="1"/>
  <c r="O866" i="1"/>
  <c r="O865" i="1"/>
  <c r="O863" i="1"/>
  <c r="O862" i="1"/>
  <c r="O861" i="1"/>
  <c r="O860" i="1"/>
  <c r="O859" i="1"/>
  <c r="O858" i="1"/>
  <c r="O857" i="1"/>
  <c r="O856" i="1"/>
  <c r="O854" i="1"/>
  <c r="O844" i="1"/>
  <c r="O843" i="1"/>
  <c r="O842" i="1"/>
  <c r="O841" i="1"/>
  <c r="O839" i="1"/>
  <c r="O838" i="1"/>
  <c r="O837" i="1"/>
  <c r="O836" i="1"/>
  <c r="O835" i="1"/>
  <c r="O834" i="1"/>
  <c r="O833" i="1"/>
  <c r="O832" i="1"/>
  <c r="O831" i="1"/>
  <c r="O830" i="1"/>
  <c r="O829" i="1"/>
  <c r="O828" i="1"/>
  <c r="O827" i="1"/>
  <c r="O826" i="1"/>
  <c r="O822" i="1"/>
  <c r="O821" i="1"/>
  <c r="O818" i="1"/>
  <c r="O817" i="1"/>
  <c r="O816" i="1"/>
  <c r="O813" i="1"/>
  <c r="O809" i="1"/>
  <c r="O808" i="1"/>
  <c r="O807" i="1"/>
  <c r="O806" i="1"/>
  <c r="O805" i="1"/>
  <c r="O804" i="1"/>
  <c r="O803" i="1"/>
  <c r="O802" i="1"/>
  <c r="O801" i="1"/>
  <c r="O800" i="1"/>
  <c r="O799" i="1"/>
  <c r="O798" i="1"/>
  <c r="O797" i="1"/>
  <c r="O796" i="1"/>
  <c r="O795" i="1"/>
  <c r="O794" i="1"/>
  <c r="O793" i="1"/>
  <c r="O792" i="1"/>
  <c r="O791" i="1"/>
  <c r="O790" i="1"/>
  <c r="O789" i="1"/>
  <c r="O786" i="1"/>
  <c r="O785" i="1"/>
  <c r="O784" i="1"/>
  <c r="O783" i="1"/>
  <c r="O776" i="1"/>
  <c r="O775" i="1"/>
  <c r="O774" i="1"/>
  <c r="O772" i="1"/>
  <c r="O771" i="1"/>
  <c r="O768" i="1"/>
  <c r="O700" i="1"/>
  <c r="O699" i="1"/>
  <c r="O694" i="1"/>
  <c r="O693" i="1"/>
  <c r="O692" i="1"/>
  <c r="O691" i="1"/>
  <c r="O690" i="1"/>
  <c r="O689" i="1"/>
  <c r="O688" i="1"/>
  <c r="O687" i="1"/>
  <c r="O686" i="1"/>
  <c r="O683" i="1"/>
  <c r="O682" i="1"/>
  <c r="O681" i="1"/>
  <c r="O679"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39" i="1"/>
  <c r="O538" i="1"/>
  <c r="O537" i="1"/>
  <c r="O536" i="1"/>
  <c r="O535" i="1"/>
  <c r="O534" i="1"/>
  <c r="O533" i="1"/>
  <c r="O532"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84" i="1"/>
  <c r="O483" i="1"/>
  <c r="O482" i="1"/>
  <c r="O480" i="1"/>
  <c r="O479" i="1"/>
  <c r="O478" i="1"/>
  <c r="O477" i="1"/>
  <c r="O476" i="1"/>
  <c r="O475" i="1"/>
  <c r="O474" i="1"/>
  <c r="O473" i="1"/>
  <c r="O472" i="1"/>
  <c r="O471" i="1"/>
  <c r="O470" i="1"/>
  <c r="O467" i="1"/>
  <c r="O466" i="1"/>
  <c r="O465" i="1"/>
  <c r="O464" i="1"/>
  <c r="O463" i="1"/>
  <c r="O462" i="1"/>
  <c r="O461" i="1"/>
  <c r="O460" i="1"/>
  <c r="O459" i="1"/>
  <c r="O458" i="1"/>
  <c r="O457" i="1"/>
  <c r="O456" i="1"/>
  <c r="O455" i="1"/>
  <c r="O446" i="1"/>
  <c r="O445" i="1"/>
  <c r="O442" i="1"/>
  <c r="O441" i="1"/>
  <c r="O440" i="1"/>
  <c r="O435" i="1"/>
  <c r="O433" i="1"/>
  <c r="O432" i="1"/>
  <c r="O431" i="1"/>
  <c r="O430" i="1"/>
  <c r="O425" i="1"/>
  <c r="O424" i="1"/>
  <c r="O421" i="1"/>
  <c r="O420" i="1"/>
  <c r="O419" i="1"/>
  <c r="O418" i="1"/>
  <c r="O417" i="1"/>
  <c r="O416" i="1"/>
  <c r="O387" i="1"/>
  <c r="O386" i="1"/>
  <c r="O385" i="1"/>
  <c r="O384" i="1"/>
  <c r="O382" i="1"/>
  <c r="O381" i="1"/>
  <c r="O380" i="1"/>
  <c r="O363" i="1"/>
  <c r="O361" i="1"/>
  <c r="O359" i="1"/>
  <c r="O358" i="1"/>
  <c r="O357" i="1"/>
  <c r="O354" i="1"/>
  <c r="O353" i="1"/>
  <c r="O349" i="1"/>
  <c r="O348" i="1"/>
  <c r="O347" i="1"/>
  <c r="O346" i="1"/>
  <c r="O343" i="1"/>
  <c r="O331" i="1"/>
  <c r="O330" i="1"/>
  <c r="O329" i="1"/>
  <c r="O327" i="1"/>
  <c r="O324" i="1"/>
  <c r="O322" i="1"/>
  <c r="O321" i="1"/>
  <c r="O315" i="1"/>
  <c r="O314" i="1"/>
  <c r="O312" i="1"/>
  <c r="O294" i="1"/>
  <c r="O293" i="1"/>
  <c r="O292" i="1"/>
  <c r="O285" i="1"/>
  <c r="O279" i="1"/>
  <c r="O278" i="1"/>
  <c r="O275" i="1"/>
  <c r="O274" i="1"/>
  <c r="O273" i="1"/>
  <c r="O272" i="1"/>
  <c r="O271" i="1"/>
  <c r="O270" i="1"/>
  <c r="O269" i="1"/>
  <c r="O268" i="1"/>
  <c r="O267" i="1"/>
  <c r="O266" i="1"/>
  <c r="O265" i="1"/>
  <c r="O263" i="1"/>
  <c r="O262" i="1"/>
  <c r="O261" i="1"/>
  <c r="O260" i="1"/>
  <c r="O259" i="1"/>
  <c r="O258" i="1"/>
  <c r="O256" i="1"/>
  <c r="O254" i="1"/>
  <c r="O253" i="1"/>
  <c r="O251" i="1"/>
  <c r="O250" i="1"/>
  <c r="O249" i="1"/>
  <c r="O248" i="1"/>
  <c r="O247" i="1"/>
  <c r="O246" i="1"/>
  <c r="O245" i="1"/>
  <c r="O244" i="1"/>
  <c r="O242" i="1"/>
  <c r="O241" i="1"/>
  <c r="O238" i="1"/>
  <c r="O235" i="1"/>
  <c r="O234" i="1"/>
  <c r="O233" i="1"/>
  <c r="O230" i="1"/>
  <c r="O229" i="1"/>
  <c r="O228" i="1"/>
  <c r="O222" i="1"/>
  <c r="O221" i="1"/>
  <c r="O220" i="1"/>
  <c r="O219" i="1"/>
  <c r="O218" i="1"/>
  <c r="O217" i="1"/>
  <c r="O215" i="1"/>
  <c r="O214" i="1"/>
  <c r="O211" i="1"/>
  <c r="O210" i="1"/>
  <c r="O208" i="1"/>
  <c r="O207" i="1"/>
  <c r="O206" i="1"/>
  <c r="O205" i="1"/>
  <c r="O204" i="1"/>
  <c r="O203" i="1"/>
  <c r="O201" i="1"/>
  <c r="O197" i="1"/>
  <c r="O196" i="1"/>
  <c r="O195" i="1"/>
  <c r="O194" i="1"/>
  <c r="O193" i="1"/>
  <c r="O192" i="1"/>
  <c r="O191" i="1"/>
  <c r="O190" i="1"/>
  <c r="O189" i="1"/>
  <c r="O188" i="1"/>
  <c r="O187" i="1"/>
  <c r="O186" i="1"/>
  <c r="O185" i="1"/>
  <c r="O182" i="1"/>
  <c r="O181" i="1"/>
  <c r="O180" i="1"/>
  <c r="O179" i="1"/>
  <c r="O178" i="1"/>
  <c r="O177" i="1"/>
  <c r="O175" i="1"/>
  <c r="O172" i="1"/>
  <c r="O170" i="1"/>
  <c r="O166" i="1"/>
  <c r="O164" i="1"/>
  <c r="O163" i="1"/>
  <c r="O162" i="1"/>
  <c r="O161" i="1"/>
  <c r="O160" i="1"/>
  <c r="O152" i="1"/>
  <c r="O151" i="1"/>
  <c r="O142" i="1"/>
  <c r="O141" i="1"/>
  <c r="O139" i="1"/>
  <c r="O138" i="1"/>
  <c r="O134" i="1"/>
  <c r="O133" i="1"/>
  <c r="O132" i="1"/>
  <c r="O131" i="1"/>
  <c r="O128" i="1"/>
  <c r="O123" i="1"/>
  <c r="O121" i="1"/>
  <c r="O120" i="1"/>
  <c r="O119" i="1"/>
  <c r="O118" i="1"/>
  <c r="O117" i="1"/>
  <c r="O116" i="1"/>
  <c r="O115" i="1"/>
  <c r="O114" i="1"/>
  <c r="O113" i="1"/>
  <c r="O105" i="1"/>
  <c r="O104" i="1"/>
  <c r="O103" i="1"/>
  <c r="O102" i="1"/>
  <c r="O101" i="1"/>
  <c r="O95" i="1"/>
  <c r="O93" i="1"/>
  <c r="O89" i="1"/>
  <c r="O85" i="1"/>
  <c r="O82" i="1"/>
  <c r="O81" i="1"/>
  <c r="O79" i="1"/>
  <c r="O77" i="1"/>
  <c r="O75" i="1"/>
  <c r="O74" i="1"/>
  <c r="O72" i="1"/>
  <c r="O71" i="1"/>
  <c r="O70" i="1"/>
  <c r="O69" i="1"/>
  <c r="O68" i="1"/>
  <c r="O60" i="1"/>
  <c r="O59" i="1"/>
  <c r="O58" i="1"/>
  <c r="O57" i="1"/>
  <c r="O56" i="1"/>
  <c r="O55" i="1"/>
  <c r="O50" i="1"/>
  <c r="O49" i="1"/>
  <c r="O48" i="1"/>
  <c r="O47" i="1"/>
  <c r="O46" i="1"/>
  <c r="O45" i="1"/>
  <c r="O44" i="1"/>
  <c r="O43" i="1"/>
  <c r="O42" i="1"/>
  <c r="O20" i="1"/>
  <c r="O18" i="1"/>
  <c r="N987" i="1"/>
  <c r="O987" i="1" s="1"/>
  <c r="N984" i="1"/>
  <c r="O984" i="1" s="1"/>
  <c r="N983" i="1"/>
  <c r="O983" i="1" s="1"/>
  <c r="N982" i="1"/>
  <c r="O982" i="1" s="1"/>
  <c r="N981" i="1"/>
  <c r="O981" i="1" s="1"/>
  <c r="O977" i="1"/>
  <c r="O973" i="1"/>
  <c r="N972" i="1"/>
  <c r="O972" i="1" s="1"/>
  <c r="N971" i="1"/>
  <c r="O971" i="1" s="1"/>
  <c r="O970" i="1"/>
  <c r="O969" i="1"/>
  <c r="N945" i="1"/>
  <c r="O945" i="1" s="1"/>
  <c r="N942" i="1"/>
  <c r="O942" i="1" s="1"/>
  <c r="N941" i="1"/>
  <c r="O941" i="1" s="1"/>
  <c r="N929" i="1"/>
  <c r="O929" i="1" s="1"/>
  <c r="N911" i="1"/>
  <c r="O911" i="1" s="1"/>
  <c r="N907" i="1"/>
  <c r="O907" i="1" s="1"/>
  <c r="N902" i="1"/>
  <c r="O902" i="1" s="1"/>
  <c r="N901" i="1"/>
  <c r="O901" i="1" s="1"/>
  <c r="N900" i="1"/>
  <c r="O900" i="1" s="1"/>
  <c r="N899" i="1"/>
  <c r="O899" i="1" s="1"/>
  <c r="N898" i="1"/>
  <c r="O898" i="1" s="1"/>
  <c r="N881" i="1"/>
  <c r="O881" i="1" s="1"/>
  <c r="N877" i="1"/>
  <c r="O877" i="1" s="1"/>
  <c r="N872" i="1"/>
  <c r="O872" i="1" s="1"/>
  <c r="N871" i="1"/>
  <c r="O871" i="1" s="1"/>
  <c r="N870" i="1"/>
  <c r="O870" i="1" s="1"/>
  <c r="N869" i="1"/>
  <c r="O869" i="1" s="1"/>
  <c r="N868" i="1"/>
  <c r="O868" i="1" s="1"/>
  <c r="N867" i="1"/>
  <c r="O867" i="1" s="1"/>
  <c r="N864" i="1"/>
  <c r="O864" i="1" s="1"/>
  <c r="N855" i="1"/>
  <c r="O855" i="1" s="1"/>
  <c r="N853" i="1"/>
  <c r="O853" i="1" s="1"/>
  <c r="N852" i="1"/>
  <c r="O852" i="1" s="1"/>
  <c r="N851" i="1"/>
  <c r="O851" i="1" s="1"/>
  <c r="N850" i="1"/>
  <c r="O850" i="1" s="1"/>
  <c r="N849" i="1"/>
  <c r="O849" i="1" s="1"/>
  <c r="N848" i="1"/>
  <c r="O848" i="1" s="1"/>
  <c r="N847" i="1"/>
  <c r="O847" i="1" s="1"/>
  <c r="N845" i="1"/>
  <c r="O845" i="1" s="1"/>
  <c r="N840" i="1"/>
  <c r="O840" i="1" s="1"/>
  <c r="N824" i="1"/>
  <c r="O824" i="1" s="1"/>
  <c r="N823" i="1"/>
  <c r="O823" i="1" s="1"/>
  <c r="N820" i="1"/>
  <c r="O820" i="1" s="1"/>
  <c r="N819" i="1"/>
  <c r="O819" i="1" s="1"/>
  <c r="N815" i="1"/>
  <c r="O815" i="1" s="1"/>
  <c r="N814" i="1"/>
  <c r="O814" i="1" s="1"/>
  <c r="N788" i="1"/>
  <c r="O788" i="1" s="1"/>
  <c r="N787" i="1"/>
  <c r="O787" i="1" s="1"/>
  <c r="N782" i="1"/>
  <c r="O782" i="1" s="1"/>
  <c r="N781" i="1"/>
  <c r="O781" i="1" s="1"/>
  <c r="N780" i="1"/>
  <c r="O780" i="1" s="1"/>
  <c r="N779" i="1"/>
  <c r="O779" i="1" s="1"/>
  <c r="N778" i="1"/>
  <c r="O778" i="1" s="1"/>
  <c r="N777" i="1"/>
  <c r="O777" i="1" s="1"/>
  <c r="N773" i="1"/>
  <c r="O773" i="1" s="1"/>
  <c r="N770" i="1"/>
  <c r="O770" i="1" s="1"/>
  <c r="N769" i="1"/>
  <c r="O769" i="1" s="1"/>
  <c r="N698" i="1"/>
  <c r="O698" i="1" s="1"/>
  <c r="N697" i="1"/>
  <c r="O697" i="1" s="1"/>
  <c r="N696" i="1"/>
  <c r="O696" i="1" s="1"/>
  <c r="N695" i="1"/>
  <c r="O695" i="1" s="1"/>
  <c r="N685" i="1"/>
  <c r="O685" i="1" s="1"/>
  <c r="N684" i="1"/>
  <c r="O684" i="1" s="1"/>
  <c r="N680" i="1"/>
  <c r="O680" i="1" s="1"/>
  <c r="N678" i="1"/>
  <c r="O678" i="1" s="1"/>
  <c r="N637" i="1"/>
  <c r="O637" i="1" s="1"/>
  <c r="N540" i="1"/>
  <c r="O540" i="1" s="1"/>
  <c r="O531" i="1"/>
  <c r="O530" i="1"/>
  <c r="N481" i="1"/>
  <c r="O481" i="1" s="1"/>
  <c r="N469" i="1"/>
  <c r="O469" i="1" s="1"/>
  <c r="N468" i="1"/>
  <c r="O468" i="1" s="1"/>
  <c r="N454" i="1"/>
  <c r="O454" i="1" s="1"/>
  <c r="N453" i="1"/>
  <c r="O453" i="1" s="1"/>
  <c r="N452" i="1"/>
  <c r="O452" i="1" s="1"/>
  <c r="N451" i="1"/>
  <c r="O451" i="1" s="1"/>
  <c r="N450" i="1"/>
  <c r="O450" i="1" s="1"/>
  <c r="N449" i="1"/>
  <c r="O449" i="1" s="1"/>
  <c r="N448" i="1"/>
  <c r="O448" i="1" s="1"/>
  <c r="N447" i="1"/>
  <c r="O447" i="1" s="1"/>
  <c r="N443" i="1"/>
  <c r="O443" i="1" s="1"/>
  <c r="N439" i="1"/>
  <c r="O439" i="1" s="1"/>
  <c r="O438" i="1"/>
  <c r="N437" i="1"/>
  <c r="O437" i="1" s="1"/>
  <c r="N436" i="1"/>
  <c r="O436" i="1" s="1"/>
  <c r="N434" i="1"/>
  <c r="O434" i="1" s="1"/>
  <c r="N429" i="1"/>
  <c r="O429" i="1" s="1"/>
  <c r="N428" i="1"/>
  <c r="O428" i="1" s="1"/>
  <c r="N427" i="1"/>
  <c r="O427" i="1" s="1"/>
  <c r="N426" i="1"/>
  <c r="O426" i="1" s="1"/>
  <c r="O422" i="1"/>
  <c r="N415" i="1"/>
  <c r="O415" i="1" s="1"/>
  <c r="N414" i="1"/>
  <c r="O414" i="1" s="1"/>
  <c r="N413" i="1"/>
  <c r="O413" i="1" s="1"/>
  <c r="N412" i="1"/>
  <c r="O412" i="1" s="1"/>
  <c r="N411" i="1"/>
  <c r="O411" i="1" s="1"/>
  <c r="N410" i="1"/>
  <c r="O410" i="1" s="1"/>
  <c r="N409" i="1"/>
  <c r="O409" i="1" s="1"/>
  <c r="N408" i="1"/>
  <c r="O408" i="1" s="1"/>
  <c r="N407" i="1"/>
  <c r="O407" i="1" s="1"/>
  <c r="N406" i="1"/>
  <c r="O406" i="1" s="1"/>
  <c r="N405" i="1"/>
  <c r="O405" i="1" s="1"/>
  <c r="N404" i="1"/>
  <c r="O404" i="1" s="1"/>
  <c r="N403" i="1"/>
  <c r="O403" i="1" s="1"/>
  <c r="N402" i="1"/>
  <c r="O402" i="1" s="1"/>
  <c r="N401" i="1"/>
  <c r="O401" i="1" s="1"/>
  <c r="N400" i="1"/>
  <c r="O400" i="1" s="1"/>
  <c r="N399" i="1"/>
  <c r="O399" i="1" s="1"/>
  <c r="N398" i="1"/>
  <c r="O398" i="1" s="1"/>
  <c r="N397" i="1"/>
  <c r="O397" i="1" s="1"/>
  <c r="N396" i="1"/>
  <c r="O396" i="1" s="1"/>
  <c r="N395" i="1"/>
  <c r="O395" i="1" s="1"/>
  <c r="N394" i="1"/>
  <c r="O394" i="1" s="1"/>
  <c r="N393" i="1"/>
  <c r="O393" i="1" s="1"/>
  <c r="N392" i="1"/>
  <c r="O392" i="1" s="1"/>
  <c r="N391" i="1"/>
  <c r="O391" i="1" s="1"/>
  <c r="N390" i="1"/>
  <c r="O390" i="1" s="1"/>
  <c r="N389" i="1"/>
  <c r="O389" i="1" s="1"/>
  <c r="N388" i="1"/>
  <c r="O388" i="1" s="1"/>
  <c r="N383" i="1"/>
  <c r="O383" i="1" s="1"/>
  <c r="N379" i="1"/>
  <c r="O379" i="1" s="1"/>
  <c r="N378" i="1"/>
  <c r="O378" i="1" s="1"/>
  <c r="N377" i="1"/>
  <c r="O377" i="1" s="1"/>
  <c r="N376" i="1"/>
  <c r="O376" i="1" s="1"/>
  <c r="N375" i="1"/>
  <c r="O375" i="1" s="1"/>
  <c r="N374" i="1"/>
  <c r="O374" i="1" s="1"/>
  <c r="N373" i="1"/>
  <c r="O373" i="1" s="1"/>
  <c r="N372" i="1"/>
  <c r="O372" i="1" s="1"/>
  <c r="N371" i="1"/>
  <c r="O371" i="1" s="1"/>
  <c r="N370" i="1"/>
  <c r="O370" i="1" s="1"/>
  <c r="N369" i="1"/>
  <c r="O369" i="1" s="1"/>
  <c r="N368" i="1"/>
  <c r="O368" i="1" s="1"/>
  <c r="N367" i="1"/>
  <c r="O367" i="1" s="1"/>
  <c r="N366" i="1"/>
  <c r="O366" i="1" s="1"/>
  <c r="N365" i="1"/>
  <c r="O365" i="1" s="1"/>
  <c r="N364" i="1"/>
  <c r="O364" i="1" s="1"/>
  <c r="N362" i="1"/>
  <c r="O362" i="1" s="1"/>
  <c r="N360" i="1"/>
  <c r="O360" i="1" s="1"/>
  <c r="N356" i="1"/>
  <c r="O356" i="1" s="1"/>
  <c r="N355" i="1"/>
  <c r="O355" i="1" s="1"/>
  <c r="N352" i="1"/>
  <c r="O352" i="1" s="1"/>
  <c r="N351" i="1"/>
  <c r="O351" i="1" s="1"/>
  <c r="N350" i="1"/>
  <c r="O350" i="1" s="1"/>
  <c r="N345" i="1"/>
  <c r="O345" i="1" s="1"/>
  <c r="N342" i="1"/>
  <c r="O342" i="1" s="1"/>
  <c r="N341" i="1"/>
  <c r="O341" i="1" s="1"/>
  <c r="N337" i="1"/>
  <c r="O337" i="1" s="1"/>
  <c r="N336" i="1"/>
  <c r="O336" i="1" s="1"/>
  <c r="N335" i="1"/>
  <c r="O335" i="1" s="1"/>
  <c r="N334" i="1"/>
  <c r="O334" i="1" s="1"/>
  <c r="N333" i="1"/>
  <c r="O333" i="1" s="1"/>
  <c r="N332" i="1"/>
  <c r="O332" i="1" s="1"/>
  <c r="N328" i="1"/>
  <c r="O328" i="1" s="1"/>
  <c r="N326" i="1"/>
  <c r="O326" i="1" s="1"/>
  <c r="N323" i="1"/>
  <c r="O323" i="1" s="1"/>
  <c r="N320" i="1"/>
  <c r="O320" i="1" s="1"/>
  <c r="N316" i="1"/>
  <c r="O316" i="1" s="1"/>
  <c r="N313" i="1"/>
  <c r="O313" i="1" s="1"/>
  <c r="N311" i="1"/>
  <c r="O311" i="1" s="1"/>
  <c r="N310" i="1"/>
  <c r="O310" i="1" s="1"/>
  <c r="N309" i="1"/>
  <c r="O309" i="1" s="1"/>
  <c r="N308" i="1"/>
  <c r="O308" i="1" s="1"/>
  <c r="N307" i="1"/>
  <c r="O307" i="1" s="1"/>
  <c r="N306" i="1"/>
  <c r="O306" i="1" s="1"/>
  <c r="N305" i="1"/>
  <c r="O305" i="1" s="1"/>
  <c r="N304" i="1"/>
  <c r="O304" i="1" s="1"/>
  <c r="N303" i="1"/>
  <c r="O303" i="1" s="1"/>
  <c r="N302" i="1"/>
  <c r="O302" i="1" s="1"/>
  <c r="N301" i="1"/>
  <c r="O301" i="1" s="1"/>
  <c r="N300" i="1"/>
  <c r="O300" i="1" s="1"/>
  <c r="N299" i="1"/>
  <c r="O299" i="1" s="1"/>
  <c r="N298" i="1"/>
  <c r="O298" i="1" s="1"/>
  <c r="N297" i="1"/>
  <c r="O297" i="1" s="1"/>
  <c r="N296" i="1"/>
  <c r="O296" i="1" s="1"/>
  <c r="N295" i="1"/>
  <c r="O295" i="1" s="1"/>
  <c r="N291" i="1"/>
  <c r="O291" i="1" s="1"/>
  <c r="N290" i="1"/>
  <c r="O290" i="1" s="1"/>
  <c r="N289" i="1"/>
  <c r="O289" i="1" s="1"/>
  <c r="N288" i="1"/>
  <c r="O288" i="1" s="1"/>
  <c r="N287" i="1"/>
  <c r="O287" i="1" s="1"/>
  <c r="N286" i="1"/>
  <c r="O286" i="1" s="1"/>
  <c r="N283" i="1"/>
  <c r="O283" i="1" s="1"/>
  <c r="N280" i="1"/>
  <c r="O280" i="1" s="1"/>
  <c r="N264" i="1"/>
  <c r="O264" i="1" s="1"/>
  <c r="N257" i="1"/>
  <c r="O257" i="1" s="1"/>
  <c r="N239" i="1"/>
  <c r="O239" i="1" s="1"/>
  <c r="N237" i="1"/>
  <c r="O237" i="1" s="1"/>
  <c r="N236" i="1"/>
  <c r="O236" i="1" s="1"/>
  <c r="N232" i="1"/>
  <c r="O232" i="1" s="1"/>
  <c r="N227" i="1"/>
  <c r="O227" i="1" s="1"/>
  <c r="N226" i="1"/>
  <c r="O226" i="1" s="1"/>
  <c r="N225" i="1"/>
  <c r="O225" i="1" s="1"/>
  <c r="N224" i="1"/>
  <c r="O224" i="1" s="1"/>
  <c r="N223" i="1"/>
  <c r="O223" i="1" s="1"/>
  <c r="N216" i="1"/>
  <c r="O216" i="1" s="1"/>
  <c r="O212" i="1"/>
  <c r="N202" i="1"/>
  <c r="O202" i="1" s="1"/>
  <c r="N200" i="1"/>
  <c r="O200" i="1" s="1"/>
  <c r="N199" i="1"/>
  <c r="O199" i="1" s="1"/>
  <c r="N198" i="1"/>
  <c r="O198" i="1" s="1"/>
  <c r="N184" i="1"/>
  <c r="N176" i="1"/>
  <c r="O176" i="1" s="1"/>
  <c r="N174" i="1"/>
  <c r="O174" i="1" s="1"/>
  <c r="N171" i="1"/>
  <c r="O171" i="1" s="1"/>
  <c r="N169" i="1"/>
  <c r="O169" i="1" s="1"/>
  <c r="N168" i="1"/>
  <c r="O168" i="1" s="1"/>
  <c r="N167" i="1"/>
  <c r="O167" i="1" s="1"/>
  <c r="N165" i="1"/>
  <c r="O165" i="1" s="1"/>
  <c r="O159" i="1"/>
  <c r="O158" i="1"/>
  <c r="O157" i="1"/>
  <c r="O156" i="1"/>
  <c r="N155" i="1"/>
  <c r="O155" i="1" s="1"/>
  <c r="N154" i="1"/>
  <c r="O154" i="1" s="1"/>
  <c r="N153" i="1"/>
  <c r="O153" i="1" s="1"/>
  <c r="N150" i="1"/>
  <c r="O150" i="1" s="1"/>
  <c r="N149" i="1"/>
  <c r="O149" i="1" s="1"/>
  <c r="N148" i="1"/>
  <c r="O148" i="1" s="1"/>
  <c r="N147" i="1"/>
  <c r="O147" i="1" s="1"/>
  <c r="N146" i="1"/>
  <c r="O146" i="1" s="1"/>
  <c r="N144" i="1"/>
  <c r="O144" i="1" s="1"/>
  <c r="N143" i="1"/>
  <c r="O143" i="1" s="1"/>
  <c r="N140" i="1"/>
  <c r="O140" i="1" s="1"/>
  <c r="N137" i="1"/>
  <c r="O137" i="1" s="1"/>
  <c r="N136" i="1"/>
  <c r="O136" i="1" s="1"/>
  <c r="N135" i="1"/>
  <c r="O135" i="1" s="1"/>
  <c r="N130" i="1"/>
  <c r="O130" i="1" s="1"/>
  <c r="N129" i="1"/>
  <c r="O129" i="1" s="1"/>
  <c r="N127" i="1"/>
  <c r="O127" i="1" s="1"/>
  <c r="N126" i="1"/>
  <c r="O126" i="1" s="1"/>
  <c r="N125" i="1"/>
  <c r="O125" i="1" s="1"/>
  <c r="N124" i="1"/>
  <c r="O124" i="1" s="1"/>
  <c r="N122" i="1"/>
  <c r="O122" i="1" s="1"/>
  <c r="N112" i="1"/>
  <c r="O112" i="1" s="1"/>
  <c r="N111" i="1"/>
  <c r="O111" i="1" s="1"/>
  <c r="N110" i="1"/>
  <c r="O110" i="1" s="1"/>
  <c r="N109" i="1"/>
  <c r="O109" i="1" s="1"/>
  <c r="N108" i="1"/>
  <c r="O108" i="1" s="1"/>
  <c r="N107" i="1"/>
  <c r="O107" i="1" s="1"/>
  <c r="N106" i="1"/>
  <c r="O106" i="1" s="1"/>
  <c r="N100" i="1"/>
  <c r="O100" i="1" s="1"/>
  <c r="N98" i="1"/>
  <c r="O98" i="1" s="1"/>
  <c r="N97" i="1"/>
  <c r="O97" i="1" s="1"/>
  <c r="N96" i="1"/>
  <c r="O96" i="1" s="1"/>
  <c r="N94" i="1"/>
  <c r="O94" i="1" s="1"/>
  <c r="N90" i="1"/>
  <c r="O90" i="1" s="1"/>
  <c r="N88" i="1"/>
  <c r="O88" i="1" s="1"/>
  <c r="N86" i="1"/>
  <c r="O86" i="1" s="1"/>
  <c r="N84" i="1"/>
  <c r="O84" i="1" s="1"/>
  <c r="N83" i="1"/>
  <c r="O83" i="1" s="1"/>
  <c r="N80" i="1"/>
  <c r="O80" i="1" s="1"/>
  <c r="N78" i="1"/>
  <c r="O78" i="1" s="1"/>
  <c r="N76" i="1"/>
  <c r="O76" i="1" s="1"/>
  <c r="N73" i="1"/>
  <c r="O73" i="1" s="1"/>
  <c r="N67" i="1"/>
  <c r="O67" i="1" s="1"/>
  <c r="N62" i="1"/>
  <c r="O62" i="1" s="1"/>
  <c r="N61" i="1"/>
  <c r="O61" i="1" s="1"/>
  <c r="N52" i="1"/>
  <c r="O52" i="1" s="1"/>
  <c r="N51" i="1"/>
  <c r="O51" i="1" s="1"/>
  <c r="N41" i="1"/>
  <c r="O41" i="1" s="1"/>
  <c r="N40" i="1"/>
  <c r="O40" i="1" s="1"/>
  <c r="N39" i="1"/>
  <c r="O39" i="1" s="1"/>
  <c r="N38" i="1"/>
  <c r="O38" i="1" s="1"/>
  <c r="N37" i="1"/>
  <c r="O37" i="1" s="1"/>
  <c r="N36" i="1"/>
  <c r="O36" i="1" s="1"/>
  <c r="N35" i="1"/>
  <c r="O35" i="1" s="1"/>
  <c r="O32" i="1"/>
  <c r="N31" i="1"/>
  <c r="O31" i="1" s="1"/>
  <c r="N30" i="1"/>
  <c r="O30" i="1" s="1"/>
  <c r="O29" i="1"/>
  <c r="O26" i="1"/>
  <c r="N24" i="1"/>
  <c r="O24" i="1" s="1"/>
  <c r="N23" i="1"/>
  <c r="O23" i="1" s="1"/>
  <c r="N22" i="1"/>
  <c r="O22" i="1" s="1"/>
  <c r="N19" i="1"/>
  <c r="O19" i="1" s="1"/>
  <c r="N17" i="1"/>
  <c r="O17" i="1" s="1"/>
  <c r="N16" i="1"/>
  <c r="O16" i="1" s="1"/>
  <c r="N15" i="1"/>
  <c r="O15" i="1" s="1"/>
  <c r="N14" i="1"/>
  <c r="O14" i="1" s="1"/>
  <c r="N13" i="1"/>
  <c r="O13" i="1" s="1"/>
  <c r="N12" i="1"/>
  <c r="O12" i="1" s="1"/>
  <c r="N11" i="1"/>
  <c r="O11" i="1" s="1"/>
  <c r="N10" i="1"/>
  <c r="O10" i="1" s="1"/>
  <c r="N9" i="1"/>
  <c r="O9" i="1" s="1"/>
  <c r="N7" i="1"/>
  <c r="O7" i="1" s="1"/>
  <c r="N6" i="1"/>
  <c r="O6" i="1" s="1"/>
  <c r="N5" i="1"/>
  <c r="O5" i="1" s="1"/>
  <c r="N4" i="1"/>
  <c r="O4" i="1" s="1"/>
  <c r="N3" i="1"/>
  <c r="O3" i="1" s="1"/>
  <c r="N2" i="1"/>
  <c r="O2" i="1" s="1"/>
  <c r="M846" i="1"/>
  <c r="K846" i="1"/>
  <c r="O184" i="1" l="1"/>
  <c r="O846" i="1"/>
  <c r="M87" i="1"/>
  <c r="K87" i="1"/>
  <c r="M99" i="1"/>
  <c r="K99" i="1"/>
  <c r="M240" i="1"/>
  <c r="M282" i="1"/>
  <c r="K282" i="1"/>
  <c r="M344" i="1"/>
  <c r="K344" i="1"/>
  <c r="M825" i="1"/>
  <c r="O825" i="1" s="1"/>
  <c r="M811" i="1"/>
  <c r="K811" i="1"/>
  <c r="M281" i="1"/>
  <c r="K281" i="1"/>
  <c r="O281" i="1" s="1"/>
  <c r="M255" i="1"/>
  <c r="K255" i="1"/>
  <c r="K243" i="1"/>
  <c r="M209" i="1"/>
  <c r="K209" i="1"/>
  <c r="M812" i="1"/>
  <c r="O243" i="1" l="1"/>
  <c r="O87" i="1"/>
  <c r="O344" i="1"/>
  <c r="O99" i="1"/>
  <c r="O282" i="1"/>
  <c r="O209" i="1"/>
  <c r="O811" i="1"/>
  <c r="O255" i="1"/>
  <c r="N812" i="1"/>
  <c r="O812" i="1" s="1"/>
  <c r="N240" i="1"/>
  <c r="O240" i="1" s="1"/>
  <c r="O252" i="1" l="1"/>
  <c r="N444" i="1"/>
  <c r="O444" i="1" s="1"/>
  <c r="M810" i="1" l="1"/>
  <c r="K810" i="1"/>
  <c r="M284" i="1"/>
  <c r="K284" i="1"/>
  <c r="M145" i="1"/>
  <c r="K145" i="1"/>
  <c r="O145" i="1" s="1"/>
  <c r="M92" i="1"/>
  <c r="K92" i="1"/>
  <c r="M91" i="1"/>
  <c r="K91" i="1"/>
  <c r="O92" i="1" l="1"/>
  <c r="O284" i="1"/>
  <c r="O91" i="1"/>
  <c r="O810" i="1"/>
</calcChain>
</file>

<file path=xl/comments1.xml><?xml version="1.0" encoding="utf-8"?>
<comments xmlns="http://schemas.openxmlformats.org/spreadsheetml/2006/main">
  <authors>
    <author>Edier Pérez Zuñiga</author>
  </authors>
  <commentList>
    <comment ref="G808" authorId="0" shapeId="0">
      <text>
        <r>
          <rPr>
            <b/>
            <sz val="9"/>
            <color indexed="81"/>
            <rFont val="Tahoma"/>
            <family val="2"/>
          </rPr>
          <t>Edier Pérez Zuñiga:</t>
        </r>
        <r>
          <rPr>
            <sz val="9"/>
            <color indexed="81"/>
            <rFont val="Tahoma"/>
            <family val="2"/>
          </rPr>
          <t xml:space="preserve">
se redujo en $ 6.421334 y luego se adiciono en $5.618.667</t>
        </r>
      </text>
    </comment>
    <comment ref="B816" authorId="0" shapeId="0">
      <text>
        <r>
          <rPr>
            <b/>
            <sz val="9"/>
            <color indexed="81"/>
            <rFont val="Tahoma"/>
            <family val="2"/>
          </rPr>
          <t>Edier Pérez Zuñiga:</t>
        </r>
        <r>
          <rPr>
            <sz val="9"/>
            <color indexed="81"/>
            <rFont val="Tahoma"/>
            <family val="2"/>
          </rPr>
          <t xml:space="preserve">
FALTA CARPETA</t>
        </r>
      </text>
    </comment>
  </commentList>
</comments>
</file>

<file path=xl/comments2.xml><?xml version="1.0" encoding="utf-8"?>
<comments xmlns="http://schemas.openxmlformats.org/spreadsheetml/2006/main">
  <authors>
    <author>Edier Pérez Zuñiga</author>
  </authors>
  <commentList>
    <comment ref="B9" authorId="0" shapeId="0">
      <text>
        <r>
          <rPr>
            <b/>
            <sz val="9"/>
            <color indexed="81"/>
            <rFont val="Tahoma"/>
            <family val="2"/>
          </rPr>
          <t>Edier Pérez Zuñiga:</t>
        </r>
        <r>
          <rPr>
            <sz val="9"/>
            <color indexed="81"/>
            <rFont val="Tahoma"/>
            <family val="2"/>
          </rPr>
          <t xml:space="preserve">
FALTA CARPETA</t>
        </r>
      </text>
    </comment>
  </commentList>
</comments>
</file>

<file path=xl/comments3.xml><?xml version="1.0" encoding="utf-8"?>
<comments xmlns="http://schemas.openxmlformats.org/spreadsheetml/2006/main">
  <authors>
    <author>Edier Pérez Zuñiga</author>
  </authors>
  <commentList>
    <comment ref="G64" authorId="0" shapeId="0">
      <text>
        <r>
          <rPr>
            <b/>
            <sz val="9"/>
            <color indexed="81"/>
            <rFont val="Tahoma"/>
            <family val="2"/>
          </rPr>
          <t>Edier Pérez Zuñiga:</t>
        </r>
        <r>
          <rPr>
            <sz val="9"/>
            <color indexed="81"/>
            <rFont val="Tahoma"/>
            <family val="2"/>
          </rPr>
          <t xml:space="preserve">
se redujo en $ 6.421334 y luego se adiciono en $5.618.667</t>
        </r>
      </text>
    </comment>
  </commentList>
</comments>
</file>

<file path=xl/sharedStrings.xml><?xml version="1.0" encoding="utf-8"?>
<sst xmlns="http://schemas.openxmlformats.org/spreadsheetml/2006/main" count="20093" uniqueCount="2317">
  <si>
    <t xml:space="preserve">SECCIONAL QUE CELEBRA EL CTO. </t>
  </si>
  <si>
    <t>NÚMERO DE CONTRATO</t>
  </si>
  <si>
    <t xml:space="preserve">OBJETO DEL CONTRATO </t>
  </si>
  <si>
    <t xml:space="preserve">FECHA DE SUSCRIPCIÓN CONTRATO </t>
  </si>
  <si>
    <t>FECHA INICIO CONTRATO</t>
  </si>
  <si>
    <t xml:space="preserve">VALOR INICIAL DEL CONTRATO </t>
  </si>
  <si>
    <t>ADICIONES AL VALOR CTO.</t>
  </si>
  <si>
    <t>CONTRATISTA</t>
  </si>
  <si>
    <t>NIT. CONTRATISTA</t>
  </si>
  <si>
    <t>DESCRIPCION ELEMENTOS ADQUIRIDOS</t>
  </si>
  <si>
    <t>CANTIDAD</t>
  </si>
  <si>
    <t>UNIDAD DE MEDIDA</t>
  </si>
  <si>
    <t>VALOR UNITARIO</t>
  </si>
  <si>
    <t>IVA</t>
  </si>
  <si>
    <t>VALOR TOTAL</t>
  </si>
  <si>
    <t>CATEGORIA</t>
  </si>
  <si>
    <t>ARMENIA</t>
  </si>
  <si>
    <t>CONTRATO DE COMPRAVENTA Nro 5</t>
  </si>
  <si>
    <t>ADQUISICIÓN DE ELEMENTOS DE BIOSEGURIDAD CONSISTENTES EN TRAJES DE PROTECCIÓN CORPORAL, MONOGAFAS CON VENTILACIÓN Y GUANTES PARA LOS SERVIDORES JUDICIALES QUE EJERCEN FUNCIONES DE CONTROL DE GARANTÍAS DEL DISTRITO JUDICIAL DE ARMENIA Y ADMINISTRATIVO DEL QUINDÍO.</t>
  </si>
  <si>
    <t>TECHNICAL SOLUTIONS SAFETY SAS</t>
  </si>
  <si>
    <t xml:space="preserve">TRAJE DE PROTECCION CORPORAL, TALLAS L Y XL </t>
  </si>
  <si>
    <t>UNIDAD</t>
  </si>
  <si>
    <t>TRAJES DE PROTECCION / OVEROL</t>
  </si>
  <si>
    <t>GUANTES NITILSAFE VERDE 13"</t>
  </si>
  <si>
    <t>PAR</t>
  </si>
  <si>
    <t>GUANTES NITILSAFE</t>
  </si>
  <si>
    <t>MONOGAFAS WIND VENTILACION DIRECTA AF ANSI Z87</t>
  </si>
  <si>
    <t>MONOGAFAS</t>
  </si>
  <si>
    <t>ADQUISICIÓN DE ELEMENTOS DE PROTECCIÓN PERSONAL (TAPABOCAS) PARA LOS SERVIDORES JUDICIALES DEL DISTRITO DE ARMENIA Y ADMINISTRATIVO DEL QUINDÍO PARA LA PREVENCIÓN DEL CONTAGIO DE COVID-19.</t>
  </si>
  <si>
    <t>C.R. DOTACIONES Y UNIFORMES S.A.S</t>
  </si>
  <si>
    <t>MASCARAS FACIALES EN EMPAQUE INDIVIDUAL DESECHABLES (TAPABOCAS DESECHABELES)</t>
  </si>
  <si>
    <t>TAPABOCAS</t>
  </si>
  <si>
    <t>CONTRATO DE COMPRAVENTA Nro 8</t>
  </si>
  <si>
    <t>ADQUISICIÓN DE ELEMENTOS DE LIMPIEZA Y DESINFECCIÓN (JABÓN ANTIBACTERIAL Y GEL ANTIBACTERIAL) PARA EL DISTRITO JUDICIAL DE ARMENIA Y ADMINISTRATIVO DEL QUINDÍO PARA LA PREVENCIÓN DEL CONTAGIO DE COVID-19.</t>
  </si>
  <si>
    <t>BERHLAN DE COLOMBIA S.A.S</t>
  </si>
  <si>
    <t xml:space="preserve">GEL ANTIBACTERIAL </t>
  </si>
  <si>
    <t>LITRO</t>
  </si>
  <si>
    <t>GEL ANTIBACTERIAL</t>
  </si>
  <si>
    <t xml:space="preserve">JABON ANTIBACTERIAL </t>
  </si>
  <si>
    <t>JABON LIQUIDO PARA MANOS</t>
  </si>
  <si>
    <t xml:space="preserve">CONTRATO DE PRESTACIÓN DE SERVICIOS NRO. 11 </t>
  </si>
  <si>
    <t>EL SERVICIO DE VIGÍAS DE SALUD, CON EL FIN DE DAR CUMPLIMIENTO AL ACUERDO PCSJA20-11567 DEL 5 DE JUNIO DE 2020, Y SUS DISPOSICIONES EN CUANTO A LA APLICACIÓN DE LOS PROTOCOLOS DE BIOSEGURIDAD, EN LAS SEDES DE MAYOR AFLUENCIA DE PERSONAS EN EL DISTRITO JUDICIAL DE ARMENIA Y ADMINISTRATIVO DEL QUINDÍO</t>
  </si>
  <si>
    <t xml:space="preserve">CRUZ ROJA COLOMBIANA SECCIONAL QUINDÍO </t>
  </si>
  <si>
    <t>SERVICIO DE APOYO LOGISTICO (AUXILIARES DE ENFERMERAS) 7 EN 8 HORAS DIARIAS DE LUNES A VIERNES (3.5 MESES)</t>
  </si>
  <si>
    <t>VALOR MENSUAL POR PERSONA</t>
  </si>
  <si>
    <t>VIGIAS DE SALUD</t>
  </si>
  <si>
    <t>ORDEN DE COMPRA NRO. 48641-48642</t>
  </si>
  <si>
    <t>LA ADQUISICIÓN DE ELEMENTOS DE LIMPIEZA Y DESINFECCIÓN Y ELEMENTOS DE PROTECCIÓN PERSONAL PARA LOS SERVIDORES JUDICIALES Y SEDES JUDICIALES DEL DISTRITO DE ARMENIA Y ADMINISTRATIVO DEL QUINDÍO, PARA LA PREVENCIÓN DEL CONTAGIO DE COVID-19.</t>
  </si>
  <si>
    <t>GRUPO CRUZ VELASQUEZ</t>
  </si>
  <si>
    <t>TAPABOCAS DESECHABLES</t>
  </si>
  <si>
    <t>ORDEN DE COMPRA NRO. 48644</t>
  </si>
  <si>
    <t>GRUPO EMPRESARIAL DE ASESORIAS Y SERVICIOS DE COLOMBIA S.A.S</t>
  </si>
  <si>
    <t>PAPEL VINIPEL ROLLO MINIMO DE 12.5 CM X 200 M</t>
  </si>
  <si>
    <t>ROLLO</t>
  </si>
  <si>
    <t>VINIPEL</t>
  </si>
  <si>
    <t>ORDEN DE COMPRA NRO. 48645</t>
  </si>
  <si>
    <t>INDUHOTEL S.A.S</t>
  </si>
  <si>
    <t>TOALLA PARA MANOS ROLLO LONGITUD MINIMA DE 100 METROS</t>
  </si>
  <si>
    <t>TOALLAS PARA MANOS</t>
  </si>
  <si>
    <t>ORDEN DE COMPRA NRO. 48646</t>
  </si>
  <si>
    <t>SUMIMAS S.A.S</t>
  </si>
  <si>
    <t>ORDEN DE COMPRA NRO. 49824</t>
  </si>
  <si>
    <t>LA ADQUISICIÓN DE LAVAMANOS PARA GARANTIZAR EL CUMPLIMIENTO DE LAS NORMAS MÍNIMAS DE ASEPSIA PERMANENTE PARA LOS SERVIDORES JUDICIALES COMO PARA LOS CLIENTES EXTERNOS Y PÚBLICO EN GENERAL QUE ASISTE AL PALACIO DE JUSTICIA “FABIO CALDERÓN BOTERO” DE ARMENIA Y “RAFAEL URIBE URIBE” DE CALARCÁ QUINDÍO.</t>
  </si>
  <si>
    <t>COLOMBIANA DE COMERCIO S.A. Y/O ALKOSTO S.A.</t>
  </si>
  <si>
    <t>LAVAMANOS PEDESTAL AUTOPORTANTE EN ACERO INOXIDABLE.</t>
  </si>
  <si>
    <t>LAVAMANOS</t>
  </si>
  <si>
    <t>ORDEN DE COMPRA NRO. 49825</t>
  </si>
  <si>
    <t>LA ADQUISICIÓN DE ELEMENTOS DE PROTECCIÓN PERSONAL PARA LOS SERVIDORES JUDICIALES DEL DISTRITO DE ARMENIA Y ADMINISTRATIVO DEL QUINDÍO, PARA PREVENIR LA PROPAGACIÓN Y EL CONTAGIO DEL COVID-19.</t>
  </si>
  <si>
    <t>OFIBEST S.A.S</t>
  </si>
  <si>
    <t>GUANTES DE NITRILO</t>
  </si>
  <si>
    <t>CAJA X 100</t>
  </si>
  <si>
    <t>ORDEN DE COMPRA NRO. 50019</t>
  </si>
  <si>
    <t>LA ADQUISICIÓN DE ELEMENTOS DE PROTECCIÓN PERSONAL (CARETAS-VISORES) PARA LOS SERVIDORES JUDICIALES DISTRITO DE ARMENIA Y ADMINISTRATIVO DEL QUINDÍO, PARA LA PREVENCIÓN DEL CONTAGIO DE COVID-19</t>
  </si>
  <si>
    <t>ABBAPLAX S.A.S</t>
  </si>
  <si>
    <t>CARETAS VISORES (PROTECTOR FACIAL)</t>
  </si>
  <si>
    <t>CARETAS</t>
  </si>
  <si>
    <t>ORDEN DE COMPRA NRO. 50957</t>
  </si>
  <si>
    <t>LA ADQUISICIÓN DE KIT´S DE GRIFERÍA PARA LAVAMANOS AUTOPORTANTES QUE SE VAN A UBICAR EN EL PALACIO DE JUSTICIA “FABIO CALDERÓN BOTERO” DE ARMENIA Y “RAFAEL URIBE URIBE” DE CALARCÁ QUINDÍO, CON EL FIN DE PREVENIR LA PROPAGACIÓN Y EL CONTAGIO DEL COVID-19.</t>
  </si>
  <si>
    <t>KIT DE GRIFERIA PARA LAVAMANOS (VALVULA DE PEDAL, 2 MANGUERAS DE ENTRADA Y SALIDA, MEDIDAS 1 MT X 6,0 CM Y EL PICO</t>
  </si>
  <si>
    <t>ORDEN DE COMPRA NRO. 51298</t>
  </si>
  <si>
    <t>LA ADQUISICIÓN DE DISPENSADORES PARA GEL Y/O JABÓN, PARA LOS SERVIDORES JUDICIALES, JUDICANTES Y USUARIOS DE LA JUSTICIA EN GENERAL DE LAS SEDES DEL DISTRITO JUDICIAL DE ARMENIA Y ADMINISTRATIVO DEL QUINDÍO, PARA PREVENIR LA PROPAGACIÓN Y EL CONTAGIO DE COVID-19.</t>
  </si>
  <si>
    <t>DISPENSADOR DE GEL Y/O JABÓN ESTRUCTURA PVC</t>
  </si>
  <si>
    <t>DISPENSADOR</t>
  </si>
  <si>
    <t>CONTRATO DE SUMINISTRO NRO. 13</t>
  </si>
  <si>
    <t>SUMINISTRO E INSTALACIÓN DE PANTALLAS EN VIDRIO TEMPLADO Y ACERO, QUE GARANTICEN LA PROTECCIÓN Y DISTANCIAMIENTO SOCIAL ENTRE LOS SERVIDORES JUDICIALES Y PÚBLICO EN GENERAL QUE ASISTE A LAS INSTALACIONES DONDE FUNCIONAN Y ADMINISTRAN JUSTICIA LOS JUECES DE LOS MUNICIPIOS QUE PERTENECEN AL DEPARTAMENTO DEL QUINDÍO Y ALGUNAS SEDES JUDICIALES EN ARMENIA QUINDÍO, CON EL FIN DE MITIGAR Y CONTROLAR LA PROPAGACIÓN DEL VIRUS COVID-19”.</t>
  </si>
  <si>
    <t>JUAN DAVID ECHEVERRY PAEZ</t>
  </si>
  <si>
    <t>PANTALLA MODULAR EN VIDRIO TEMPLADO DE 6MM, CON TUBO DE SUJECCIÓN DE 1 1/4 DE ACERO Y HERRAJE - DE 1.00 MT X 080 MTS DE ALTURA</t>
  </si>
  <si>
    <t xml:space="preserve">DIVISIONES / BARRERAS / PUERTAS </t>
  </si>
  <si>
    <t>ORDEN DE COMPRA NRO. 53415</t>
  </si>
  <si>
    <t>ALQUILER DE ESCÁNERES CON EL FIN DE GARANTIZAR LA DIGITALIZACIÓN DE LOS EXPEDIENTES JUDICIALES PARA LA RAMA JUDICIAL EN EL DISTRITO JUDICIAL DE ARMENIA Y ADMINISTRATIVO DEL QUINDÍO</t>
  </si>
  <si>
    <t>SOLUTION COPY LTDA</t>
  </si>
  <si>
    <t>ESCANER VERTICAL A4 MINIMO 6.000 PAGINA, MINIMO 60PPM POR 3 MESES</t>
  </si>
  <si>
    <t>VALOR MENSUAL POR EQUIPO</t>
  </si>
  <si>
    <t>ALQUILER DE ESCANNER</t>
  </si>
  <si>
    <t>ORDEN DE COMPRA NRO. 52500</t>
  </si>
  <si>
    <t>ADQUISICIÓN DE CANECAS DE PEDAL DE COLOR NEGRO, DESTINADAS PARA LA DISPOSICIÓN FINAL DE LOS TAPABOCAS Y GUANTES DESECHABLES PARA CADA UNA DE LAS SEDES JUDICIALES DEL DISTRITO JUDICIAL Y ADMINISTRATIVO DEL QUINDÍO</t>
  </si>
  <si>
    <t>PANAMERICANA LIBRERÍA Y
PAPELERÍA S.A.</t>
  </si>
  <si>
    <t>PAPELERA DE PEDAL CUADRADA NEGRA DE 20 LITROS MATERIAL PLASTICO</t>
  </si>
  <si>
    <t>CANECAS / PAPELERAS</t>
  </si>
  <si>
    <t>ORDEN DE COMPRA NRO. 42170</t>
  </si>
  <si>
    <t>LA PRESTACIÓN DE LOS SERVICIOS DE ASEO, MANTENIMIENTO Y SUMINISTRO DE ELEMENTOS DE ASEO Y CAFETERÍA, PARA LAS SEDES DONDE FUNCIONAN LOS DESPACHOS JUDICIALES Y SEDES ADMINISTRATIVAS A CARGO DE LA DIRECCIÓN SECCIONAL DE ADMINISTRACIÓN JUDICIAL DE ARMENIA, QUINDÍO.”</t>
  </si>
  <si>
    <t>LADOINSA LABORES DOTACIONES INDUSTRIALES S.A.S</t>
  </si>
  <si>
    <t>AUXILIARES DE ASEO</t>
  </si>
  <si>
    <t xml:space="preserve">ESCANER VERTICAL A4 MINIMO 6.000 PAGINA, MINIMO 60PPM POR 3 MESES 7 15 DÍAS </t>
  </si>
  <si>
    <t>ORDEN DE COMPRA NRO. 54685</t>
  </si>
  <si>
    <t>LA ADQUISICIÓN E INSTALACIÓN DE ESCÁNERES CON EL FIN DE GARANTIZAR LA DIGITALIZACIÓN DE LOS EXPEDIENTES JUDICIALES PARA LA RAMA JUDICIAL EN EL DISTRITO JUDICIAL DE ARMENIA Y ADMINISTRATIVO DEL QUINDÍO</t>
  </si>
  <si>
    <t>GRUPO EMPRESARIAL CREAR DE COLOMBIA S.A.S.</t>
  </si>
  <si>
    <t>ESCANERES A4 CAMAPLANA MINIMO 10.000 PAG MINIMO 70 PPM CON INSTALACION</t>
  </si>
  <si>
    <t>ORDEN DE COMPRA NRO. 57425</t>
  </si>
  <si>
    <t>LA ADQUISICIÓN DE ELEMENTOS DE PROTECCIÓN PERSONAL (GUANTES DE NITRILO, TOALLAS DESECHABLES, Y ATOMIZADORES) PARA LOS SERVIDORES JUDICIALES Y SEDES JUDICIALES DE ARMENIA Y ADMINISTRATIVO DEL QUINDÍO, PARA LA PREVENCIÓN Y CONTAGIO DE COVID-19</t>
  </si>
  <si>
    <t>JM GRUPO EMPRESARIAL S.A.S</t>
  </si>
  <si>
    <t>CONTRATO DE PRESTACIÓN DE SERVICIOS NRO. 16</t>
  </si>
  <si>
    <t>SERVICIO DE APOYO LOGISTICO (AUXILIARES DE ENFERMERAS) 8 EN 8 HORAS DIARIAS DE LUNES A VIERNES (HASTA 31 DE DICIEMBRE DE 2020)</t>
  </si>
  <si>
    <t>CONTRATO DE COMPRAVENTA NRO. 17</t>
  </si>
  <si>
    <t>INVERSIONES VELASQUEZ SAS</t>
  </si>
  <si>
    <t xml:space="preserve">TAPABOCAS DESECHABLES </t>
  </si>
  <si>
    <t>ORDEN DE COMPRA NRO. 56359</t>
  </si>
  <si>
    <t>ADQUISICIÓN DE CÁMARAS WEB
Y DIADEMAS PARA EL FORTALECIMIENTO DE LA
INFRAESTRUCTURA TECNOLÓGICA DE LOS
DESPACHOS JUDICIALES Y ADMINISTRATIVOS
DEL QUINDÍO</t>
  </si>
  <si>
    <t>CAMARAS WEB</t>
  </si>
  <si>
    <t>CÁMARAS WEB</t>
  </si>
  <si>
    <t>DIADEMAS</t>
  </si>
  <si>
    <t>ORDEN DE COMPRA NRO. 62754</t>
  </si>
  <si>
    <t>LA ADQUISICIÓN DE ELEMENTOS
DE PROTECCIÓN PERSONAL (ATOMIZADORES)
PARA LOS SERVIDORES JUDICIALES Y SEDES
JUDICIALES DEL DISTRITO DE ARMENIA Y
ADMINISTRATIVO DEL QUINDÍO, PARA LA
PREVENCIÓN DEL CONTAGIO DE COVID-19</t>
  </si>
  <si>
    <t>PAPER BOX SP S.A.S</t>
  </si>
  <si>
    <t>ATOMIZADORES</t>
  </si>
  <si>
    <t>ORDEN DE COMPRA NRO. 62808</t>
  </si>
  <si>
    <t>LA ADQUISICIÓN E INSTALACIONDE COMPUTADORES PARA LOS DESPACHOSJUDICIALES, ASÍ COMO DE DISPOSITIVOSPERIFÉRICOS PARA LA DIGITALIZACIÓN DEEXPEDIENTES DE LOS DESPACHOS JUDICIALESDEL DISTRITO JUDICIAL DE ARMENIA YADMINISTRATIVO DEL QUINDÍO”.</t>
  </si>
  <si>
    <t>ESCANERES A4 VERTICAL MINIMO 9.000 PAG, MINIMO 70 PPM, CON INSTALACIÓN</t>
  </si>
  <si>
    <t>ORDEN DE COMPRA NRO. 62809</t>
  </si>
  <si>
    <t>NEX COMPUTER S.A.S</t>
  </si>
  <si>
    <t>CONTRATO DE COMPRAVENTA NRO. 39</t>
  </si>
  <si>
    <t>RQC SOLUTIONS S.A.S</t>
  </si>
  <si>
    <t>TERMÓMETROS</t>
  </si>
  <si>
    <t>OPERARIO DE ASEO POR 1 MESE 15 DIAS</t>
  </si>
  <si>
    <t>ORDEN DE COMPRA NRO. 59254</t>
  </si>
  <si>
    <t>LA PRESTACIÓN DE LOS SERVICIOS DE ASEO, CAFETERÍA, MANTENIMIENTO Y SUMINISTRO DE ELEMENTOS DE ASEO Y CAFETERÍA PARA LOS DESPACHOS JUDICIALES Y SEDES ADMINISTRATIVAS A CARGO DE LA DIRECCIÓN SECCIONAL DE ADMINISTRACIÓN JUDICIAL DE ARMENIA QUINDÍO</t>
  </si>
  <si>
    <t>UT BIOLIMPIEZA</t>
  </si>
  <si>
    <t xml:space="preserve">OPERARIO DE ASEO POR 3 MESES </t>
  </si>
  <si>
    <t>BARRANQUILLA</t>
  </si>
  <si>
    <t>010-2020</t>
  </si>
  <si>
    <t>CONTRATAR EL SUMINISTRO DE ELEMENTOS Y MATERIALES NECESARIOS PARA ATENDER LA URGENCIA MANIFIESTA Y PREVENIR EL CONTAGIO DEL COVID-19.</t>
  </si>
  <si>
    <t>ESTRATEGIAS S.A.S</t>
  </si>
  <si>
    <t xml:space="preserve">BLANQUEADOR MARCA PROPIA HIPOCLORITO 5,25% CUÑETE 5GL </t>
  </si>
  <si>
    <t>BLANQUEADOR</t>
  </si>
  <si>
    <t>GUANTE LATEX SIN POLVO TALLA L (CAJA X 100)</t>
  </si>
  <si>
    <t>GUANTES DE LATEX</t>
  </si>
  <si>
    <t>GUANTE LATEX SIN POLVO TALLA M (CAJA X 100)</t>
  </si>
  <si>
    <t>JABON LIQUIDO DE MANOS ANTIBACTERIAL PERLADO</t>
  </si>
  <si>
    <t>TOALLA DE MANOS DOBLADA EN Z HOJA X 150 HOJAS</t>
  </si>
  <si>
    <t>TRAJE KLEENGUARD A35 CONTRA LIQUIDO</t>
  </si>
  <si>
    <t>011-2020</t>
  </si>
  <si>
    <t>CONTRATAR LA PRESTACIÓN DEL SERVICIO DE MANTENIMIENTO CORRECTIVO DE LAS TERMINALES DE MEDIA TENSIÓN Y ACOMETIDA PRINCIPAL DEL EDIFICIO LARA BONILLA DENTRO DE LA URGENCIA MANIFIESTA DECRETADA POR EL COVID-19.</t>
  </si>
  <si>
    <t>SELECTRIK S.A.S</t>
  </si>
  <si>
    <t>MANTENIMIENTO CORRECTIVO DE  LAS  TERMINALES  DE  MEDIA  TENSIÓN Y ACOMETIDA PRINCIPAL   DEL   EDIFICIO   LARA   BONILLA</t>
  </si>
  <si>
    <t>SERVICIO</t>
  </si>
  <si>
    <t>ADECUACION / REPARACION</t>
  </si>
  <si>
    <t>017-2020</t>
  </si>
  <si>
    <t>CONTRATAR LA ADQUISICIÓN DE ALCOHOL Y TOALLAS DESECHABLES, PARA MEDIDAS DE AUTOCUIDADO Y COLECTIVAS PARA EL REGRESO A LOS DIFERENTES AMBIENTES LABORALES, MITIGANDO Y CONTENIENDO EL CONTAGIO DE COVID-19 EN LOS SERVIDORES DE LA RAMA JUDICIAL DE LOS DESPACHOS JUDICIALES Y SEDES ADMINISTRATIVAS, A TRAVÉS DEL LAVADO DE MANOS..</t>
  </si>
  <si>
    <t>SUMIMAS S.A.S.</t>
  </si>
  <si>
    <t>TOALLA PARA MANOS 3 UND</t>
  </si>
  <si>
    <t xml:space="preserve">ALCOHOL </t>
  </si>
  <si>
    <t>ALCOHOL</t>
  </si>
  <si>
    <t>018-2020</t>
  </si>
  <si>
    <t>CONTRATAR LA ADQUISICIÓN DE ALCOHOL ISOPROPILICO PARA MEDIDAS DE AUTOCUIDADO Y COLECTIVAS PARA EL REGRESO A LOS DIFERENTES AMBIENTES LABORALES, MITIGANDO Y CONTENIENDO EL CONTAGIO DE COVID-19 EN LOS SERVIDORES DE LA RAMA JUDICIAL DE LOS DESPACHOS JUDICIALES Y SEDES ADMINISTRATIVAS.</t>
  </si>
  <si>
    <t>SOLUCIONES EN PROTECCION S.A.S.</t>
  </si>
  <si>
    <t>ALCOHOL ISOPROPILICO 70% EN GEL PARA ANTISEPSIA</t>
  </si>
  <si>
    <t>019-2020</t>
  </si>
  <si>
    <t>CONTRATAR EN NOMBRE DE LA NACIÓN – CONSEJO SUPERIOR LA JUDICATURA LA ADQUISICIÓN DE JABÓN LÍQUIDO, PARA MEDIDAS DE AUTOCUIDADO Y COLECTIVAS PARA EL REGRESO A LOS DIFERENTES AMBIENTES LABORALES, MITIGANDO Y CONTENIENDO EL CONTAGIO DE COVID-19 EN LOS SERVIDORES DE LA RAMA JUDICIAL DE LOS DESPACHOS JUDICIALES Y SEDES ADMINISTRATIVAS, A TRAVÉS DEL LAVADO DE MANOS.</t>
  </si>
  <si>
    <t>PANAMERICANA Y LIBRERIA S.A.</t>
  </si>
  <si>
    <t xml:space="preserve">JABON LIQUIDO PARA MANOS ANTIBACTERIAL </t>
  </si>
  <si>
    <t>020-2020</t>
  </si>
  <si>
    <t>CONTRATAR LA ADQUISICIÓN DE GUANTES DE NITRILO, PARA MEDIDAS DE AUTOCUIDADO Y COLECTIVAS PARA EL REGRESO A LOS DIFERENTES AMBIENTES LABORALES, MITIGANDO Y CONTENIENDO EL CONTAGIO DE COVID-19 EN LOS SERVIDORES JUDICIALES Y USUARIOS DE LA RAMA JUDICIAL DE LOS DESPACHOS JUDICIALES Y SEDES ADMINISTRATIVAS.</t>
  </si>
  <si>
    <t>CENCOSUD COLOMBIA S.A.</t>
  </si>
  <si>
    <t>GUANTES DE NITRILO CAJA X 100 UNIDADES</t>
  </si>
  <si>
    <t>021-2020</t>
  </si>
  <si>
    <t>CONTRATAR EN NOMBRE DE LA NACIÓN – CONSEJO SUPERIOR LA JUDICATURA LA ADQUISICIÓN DE TAPABOCAS DESECHABLES PARA MEDIDAS DE AUTOCUIDADO Y COLECTIVAS PARA EL REGRESO A LOS DIFERENTES AMBIENTES LABORALES, MITIGANDO Y CONTENIENDO EL CONTAGIO DE COVID-19 EN LOS SERVIDORES JUDICIALES DE LA RAMA JUDICIAL DE LOS DESPACHOS JUDICIALES Y SEDES ADMINISTRATIVAS.</t>
  </si>
  <si>
    <t>TAPABOCAS QUIRURGICO</t>
  </si>
  <si>
    <t>022-2020</t>
  </si>
  <si>
    <t>CONTRATAR LA ADQUISICIÓN DE ELEMENTOS DE PROTECCIÓN PERSONAL, TAPABOCAS DE TELA, PARA MEDIDAS DE AUTOCUIDADO Y COLECTIVAS EN EL REGRESO A LOS DIFERENTES AMBIENTES LABORALES, PARA CONTENER EL CONTAGIO DEL COVID-19 EN LOS SERVIDORES DE LOS DESPACHOS JUDICIALES Y SEDES ADMINISTRATIVAS.</t>
  </si>
  <si>
    <t>CONFECCIONES EL INDUSTRIAL LTDA</t>
  </si>
  <si>
    <t>TAPABOCAS TELA REUTILIZABLES</t>
  </si>
  <si>
    <t>023-2020</t>
  </si>
  <si>
    <t>CONTRATAR LA ADQUISICIÓN DE ELEMENTOS DE PROTECCIÓN PERSONAL, TERMÓMETROS DIGITALES Y BAYETILLAS MÉDICAS, PARA MEDIDAS DE AUTOCUIDADO Y COLECTIVAS EN EL REGRESO A LOS DIFERENTES AMBIENTES LABORALES, PARA CONTENER EL CONTAGIO DEL COVID-19 EN LOS SERVIDORES DE LOS DESPACHOS JUDICIALES Y SEDES ADMINISTRATIVAS.</t>
  </si>
  <si>
    <t>DISTRIBUCIONES PROVEMEDICS S.A.S</t>
  </si>
  <si>
    <t>TERMOMETRO INFRAROJO</t>
  </si>
  <si>
    <t>TERMOMETROS</t>
  </si>
  <si>
    <t>BAYETILLAS 36 X 60 CMS MARCA HR</t>
  </si>
  <si>
    <t>BAYETILLA</t>
  </si>
  <si>
    <t>024-2020</t>
  </si>
  <si>
    <t>CONTRATAR EL SUMINISTRO DE LAVAMANOS PORTÁTILES AUTÓNOMOS EN ACERO INOXIDABLE PARA ATENDER LA URGENCIA MANIFIESTA Y FORTALECER LAS MEDIDAS DE PREVENCIÓN DEL CONTAGIO Y LA PROPAGACIÓN DEL COVID-19.</t>
  </si>
  <si>
    <t>MONTAJES ACERO INOXIDABLE GUINOVART S.A.S.</t>
  </si>
  <si>
    <t>LAVAMANOS PORTATIL AUTONOMO</t>
  </si>
  <si>
    <t>026-2020</t>
  </si>
  <si>
    <t>CONTRATAR  LA PRESTACIÓN DE SERVICIOS DE PERSONAL DE APOYO A LA GESTIÓN PARA VELAR POR EL CUMPLIMIENTO DE LOS PROTOCOLOS DE BIOSEGURIDAD ESTABLECIDOS POR LA RAMA JUDICIAL Y FORTALECER LAS MEDIDAS DE PREVENCIÓN DEL CONTAGIO Y DE LA PROPAGACIÓN DEL COVID -19.</t>
  </si>
  <si>
    <t xml:space="preserve">SERVICIOS INTEGRALES DEL CARIBE SV LTDA.  </t>
  </si>
  <si>
    <t>SERVICIO DE APOYO LOGISTICO (ENFERMERAS) 7 EN 8 HORAS DIARIAS DE LUNES A VIERNES POR 4 MESES</t>
  </si>
  <si>
    <t>BOGOTÁ</t>
  </si>
  <si>
    <t>006-2020</t>
  </si>
  <si>
    <t>CONTRATAR LA PRESTACION DE SERVICIO DE ATENCIÓN DE URGENCIAS Y EMERGENCIAS MEDICAS EN SITIO, PARA TODOS LOS SERVIDORES , CONTRATISTAS, PROVEEDORES Y USUARIOS DE LA ADMINISTRACIÓN DE JUSTICIA DE LAS SEDES DE MAYOR CONCENTRACION POBLACIONAL A CARGO DE LA DIRECCIÓN EJECUTIVA SECCIONAL DE ADMINITRACIÓN JUDICIAL BOGOTÁ - CUNDINAMARCA</t>
  </si>
  <si>
    <t xml:space="preserve">EMERMEDICA S.A </t>
  </si>
  <si>
    <t>SERVICIO DE AREAS PROTEGIDAS TIPO A:SERVICIO QUE CONTARÁ UN PROFESIONAL DE LA SALUD (CON COMPETENCIA DE ATENCIÓN PRE-HOSPITALARIA) QUE  CUMPLA  TURNO  DE  7,30 AM  A 5,30 PM DE LUNES A VIERNES, EN  CADA UNA DE LAS SEDES OBJETIVO; QUIEN ATENDERÁ TODOS LOS CASOS DE EMERGENCIAS, URGENCIAS MÉDICAS, Y EVENTOS RELACIONADOS CON ENFERMEDADES GENERALES, ACCIDENTES DE TRABAJO, ETC. TAMBIÉN CONTARÁ CON UN RESPALDO DE  ASESORIA MÉDICA EN  LINEA (WEB - TELEFONICA) Y CUBRIMIENTO DEL SERVICIO CON UNA AMBULANCIA,  SEGÚN SE DETERMINE EN LAS SEDES OBJETIVO POR 7 MESES</t>
  </si>
  <si>
    <t>AREAS PROTEGIDAS</t>
  </si>
  <si>
    <t>SERVICIO DE ÁREAS PROTEGIDAS TIPO B : SERVICIO QUE CONTARÁ CON CUBRIMIENTO DE LAS AMBULANCIAS DE TRANSPORTE ASISTENCIAL BÁSICO (TAB), QUE ATENDERÁ TODOS LOS CASOS DE EMERGENCIAS Y/O URGENCIAS QUE SE PRESENTEN EN EL ÁREA DEFINIDA EN LOS TIEMPOS ESTABLECIDOS SEGÚN LA CLASIFICACIÓN DEL TRIAGE, DURANTE LAS 24 HORAS DEL DÍA Y DENTRO DE LA VIGENCIA DEL CONTRATO Y CUBRE A TODAS LAS PERSONAS QUE SE ENCUENTRAN DENTRO DE DICHA ÁREA, COMO SON EMPLEADOS, FUNCIONARIOS, CONTRATISTAS, PROVEEDORES Y USUARIOS POR 7 MESES</t>
  </si>
  <si>
    <t>007-2020</t>
  </si>
  <si>
    <t>ADQUISICIÓN DE PRODUCTOS DE ASEPSIA TALES COMO GEL ANTIBACTERIAL, TOALLAS DE MANOS, TAPABOCAS QUIRÚRGICOS, ALCOHOL ANTISÉPTICO, PAPEL HIGIÉNICO BLANCO Y GUANTES DE LATEX EN
LAS CANTIDADES PRECITADAS EN LA COTIZACIÓN DEL PROVEEDOR B2 NETWORKS, QUE SE DEJO CONTEMPLADA EN LAS CONSIDERACIONES, LOS ELEMENTOS SERÁN PARA, PARA USO DE TODAS LAS
SEDES JUDICIALES Y ADMINISTRATIVAS A CARGO DE LA DIRECCIÓN EJECUTIVA SECCIONAL DE ADMINISTRACIÓN JUDICIAL BOGOTÁ – CUNDINAMARCA.</t>
  </si>
  <si>
    <t>B2 NETWORKS SAS</t>
  </si>
  <si>
    <t>TOALLAS DE MANOS PAQUETE X 150</t>
  </si>
  <si>
    <t>ALCOHOL ANTISEPTICO</t>
  </si>
  <si>
    <t>PAPEL HIGIENICO BLANCOROLLO X 30 MTS</t>
  </si>
  <si>
    <t>PAPEL HIGIENICO</t>
  </si>
  <si>
    <t>GUANTES DE LATEX PAQUETE X 100</t>
  </si>
  <si>
    <t>009-2020</t>
  </si>
  <si>
    <t>ADQUISICIÓN DE 58 COMPUTADORES PORTÁTILES, DE LAS SIGUIENTES CARACTERÍSTICAS: PROCESADOR INTEL CORE I5, UNIDAD DE ALMACENAMIENTO 1 TB, MEMORIA RAM 8GB, CÁMARA Y MICRÓFONO INTEGRADO HD720P, CONECTOR RJ-45 100/1000 M, LECTOR DE HUELLAS, UNIDAD DVD CONEXIÓN EXTERNA USB, SISTEMA OPERATIVO WINDOWS 10 PRO 64 – ESPAÑOL CON SU RESPECTIVA LICENCIAS DE MICROSOFT OFFICE 2019 STD GOVERNMENT OLP 1 LICENSE NOLEVEL,  PARA USO DE LOS FUNCIONARIOS JUDICIALES Y DEMÁS SERVIDORES PÚBLICOS ADSCRITOS A  LAS SEDES JUDICIALES Y ADMINISTRATIVAS A CARGO DE LA DIRECCIÓN EJECUTIVA SECCIONAL DE ADMINISTRACIÓN JUDICIAL BOGOTÁ – CUNDINAMARCA.</t>
  </si>
  <si>
    <t>CDG TECNOLOGIA S.A.S</t>
  </si>
  <si>
    <t>ADQUISICION COMPUTADORES PORTATILES</t>
  </si>
  <si>
    <t>COMPUTADOR</t>
  </si>
  <si>
    <t>ADQUISICION LICENCIAS</t>
  </si>
  <si>
    <t>LICENCIAS SW</t>
  </si>
  <si>
    <t>015-2020</t>
  </si>
  <si>
    <t>CONTRATAR LA PRESTACIÓN DE SERVICIOS DE APOYO A LA GESTIÓN PARA BRINDAR SOPORTE TECNOLÓGICO A LOS JUZGADOS DE EJECUCIÓN DE PENAS Y MEDIDAS DE SEGURIDAD DE LA CIUDAD DE BOGOTÁ, A CARGO DE LA DIRECCIÓN EJECUTIVA SECCIONAL DE ADMINISTRACIÓN JUDICIAL BOGOTÁ, CUNDINAMARCA Y AMAZONAS, ESTO ES, SOPORTE DE CONEXIONES REMOTAS, USUARIOS, IMPRESORAS, RED INTERNA, GESTIÓN DOCUMENTAL Y DIGITALIZACIÓN DE LOS PROCESOS A CARGO DEL CENTRO DE SERVICIOS.</t>
  </si>
  <si>
    <t>VALENTINA ORJUELA ORDOÑEZ</t>
  </si>
  <si>
    <t>SERVICIOS DE GESTION, SERVICIOS PROFESIONALES (ADMINISTRADOR TEMPORAL DE BASES DE DATOS O DE SISTEMAS DE TECNOLOGIA DE LA INFORMACION) (POR 2 MESES)</t>
  </si>
  <si>
    <t>PROFESIONALES EN BASES DE DATOS</t>
  </si>
  <si>
    <t>016-2020</t>
  </si>
  <si>
    <t>EDWIN GIOVANNI DURAN PARDO</t>
  </si>
  <si>
    <t>JORGE ALEXANDER GAONA ORDOÑEZ</t>
  </si>
  <si>
    <t>ALBERTO GALINDO ORTIZ</t>
  </si>
  <si>
    <t>CONTRATAR EL ARRENDAMIENTO DE 150 EQUIPOS PORTÁTILES DE LAS SIGUIENTES CARACTERÍSTICAS: PROCESADOR INTEL CORE I5, UNIDAD DE ALMACENAMIENTO 500GB, MEMORIA RAM 8GB, CÁMARA Y MICRÓFONO INTEGRADO HD720P, CONECTOR RJ-45, UNIDAD ÓPTICA, SISTEMA OPERATIVO WINDOWS 10 CON LICENCIAMIENTO OFFICE 2013, QUE REQUIERAN LOS DESPACHOS JUDICIALES Y SEDES ADMINISTRATIVAS A CARGO DE ESTA DIRECCIÓN EJECUTIVA SECCIONAL DE ADMINISTRACIÓN JUDICIAL BOGOTÁ – CUNDINAMARCA.</t>
  </si>
  <si>
    <t>ALQUILER EQUIPO PORTATIL USADO PROCESADOR  CORE I5  MEMORIA 8GB DDR DISCO DURO DE 500 O SUPERIOR,PANTALLA DE 14 CAMARA-CAMARA HD720P , RJ45,UNIDAD OPTICA (POR 3 MESES)</t>
  </si>
  <si>
    <t>ALQUILER COMPUTADOR</t>
  </si>
  <si>
    <t>ADQUISICIÓN DE ELEMENTOS DE PROTECCIÓN PERSONAL QUE REQUIERAN LOS DESPACHOS JUDICIALES Y SEDES ADMINISTRATIVAS A CARGO DE ESTA DIRECCIÓN EJECUTIVA SECCIONAL DE ADMINISTRACIÓN JUDICIAL BOGOTÁ – CUNDINAMARCA, AMAZONAS.</t>
  </si>
  <si>
    <t>DOTACIONES EN SALUD DOTASALUD J.C. S.A.S</t>
  </si>
  <si>
    <t>MASCARILLA DE PROTECCIÓN RESPIRATORIA CONTRA PARTÍCULAS</t>
  </si>
  <si>
    <t>MONOGAFAS DE PROTECCON</t>
  </si>
  <si>
    <t>TRAJES DE PROTECCIÓN ANTI FLUIDO DESECHABLE</t>
  </si>
  <si>
    <t xml:space="preserve">TAPABOCAS QUIRURGICO TERMOSELLADO (NO  TEJIDO) </t>
  </si>
  <si>
    <t xml:space="preserve">GEL ALCOHOL ISOPROPÍLICO </t>
  </si>
  <si>
    <t>COMPRA DE DEPÓSITOS DE AGUA (LAVAMANOS) PORTÁTILES, CON LAS SIGUIENTES CARACTERÍSTICAS: LAVAMANOS PORTÁTIL FABRICADO EN FIBRA DE VIDRIO, EQUIPADO CON UNA BOMBA DE PEDAL PARA EL BOMBEO DE AGUA, CUENTA CON UN TANQUE DE AGUA LIMPIA DE 5 GALONES Y UNO DE AGUA RESIDUAL DE 5 GALONES</t>
  </si>
  <si>
    <t xml:space="preserve">BAÑOS BRASILIA S.A.S. </t>
  </si>
  <si>
    <t>LAVAMANOS PORTATIL FABRICADO EN FIBRA DE VIDRIO</t>
  </si>
  <si>
    <t>040-2020</t>
  </si>
  <si>
    <t>ADQUISICION DE TERMOMETROS INFRARROJOS DIGITALES</t>
  </si>
  <si>
    <t>ALCSETEC ALIANZAS COMERCIALES Y SERVICIOS TECNOLÓGICOS S.A.S</t>
  </si>
  <si>
    <t>ADQUISICION DE CARETA DE PROTECCION</t>
  </si>
  <si>
    <t>CARETAS DE PROTECCION</t>
  </si>
  <si>
    <t>ADQUISICION DE ESCANNER DE MANOS, LECTOR DE CEDULAS</t>
  </si>
  <si>
    <t>GRUPO EMPRESARIAL CREAR DE COLOMBIA</t>
  </si>
  <si>
    <t>ESCANNER DE MANOS</t>
  </si>
  <si>
    <t>ADQUISICION DE GUANTES DE NITRILO</t>
  </si>
  <si>
    <t>AESTHETICS &amp; MEDICAL SOLUTIONS</t>
  </si>
  <si>
    <t>SUMINISTRO DE DISPENSADORES DE GEL ANTIBACTERIAL PARA ACTIVACION DE PIE</t>
  </si>
  <si>
    <t>MARKETING STORE SAS</t>
  </si>
  <si>
    <t>DISPENSADORES DE GEL ANTIBACTERIAL</t>
  </si>
  <si>
    <t>ADQUISICION DE CINTAS PARA DEMARCAR ZONAS</t>
  </si>
  <si>
    <t>PANAMERICANA LIBRERÍA Y PAPELERIA</t>
  </si>
  <si>
    <t>ADQUISICION DE CINTAS ADHESIVAS DE ALTO RENDIMIENTO PARA DEMARCACION DE ZONAS X 32 MTS</t>
  </si>
  <si>
    <t>ROLLO X 32,91 MTS</t>
  </si>
  <si>
    <t>SEÑALIZACION</t>
  </si>
  <si>
    <t>ADQUISICION DE LAVAMANOS PORTATILES CON DISPENSADORES DE JABON Y TOALLAS</t>
  </si>
  <si>
    <t>LAVAMANOS PORTATIL CON DISPENSADORES DE JABON Y TOALLAS</t>
  </si>
  <si>
    <t>ADQUISICION DE CANECAS DE PEDAL 20 LTS COLOR GRIS</t>
  </si>
  <si>
    <t>Unidad</t>
  </si>
  <si>
    <t>CANECAS CON PEDAL</t>
  </si>
  <si>
    <t>YUBARTA S.A.S</t>
  </si>
  <si>
    <t>unidad</t>
  </si>
  <si>
    <t>COLSUBSIDIO</t>
  </si>
  <si>
    <t>NUEVA ERA SOLUCIONES S.A.S</t>
  </si>
  <si>
    <t>TENSOACTIVOS SG S.A.S.</t>
  </si>
  <si>
    <t>MARKETING STORE S.A.S</t>
  </si>
  <si>
    <t>TIKKE S.A.S</t>
  </si>
  <si>
    <t>UNIPAR ALQUILERES DE COMPUTADORES S.A.</t>
  </si>
  <si>
    <t>SOLOASEO CAFETERIA DISTRIBUCIONES</t>
  </si>
  <si>
    <t>PANORAMMA DISEÑO DE PRODUCCIONES S.A.S</t>
  </si>
  <si>
    <t>BON SANTE S.A.S</t>
  </si>
  <si>
    <t>CINTA MARCACIÓN Y DELIMITACIÓN DE ÁREAS - ROLLO POR 33 METROS</t>
  </si>
  <si>
    <t>NACH SOLUCIONES AMBIENTALES E INDUSTRIALES S.A.S</t>
  </si>
  <si>
    <t>DISPENSADOR DE GEL -</t>
  </si>
  <si>
    <t>TENSOACTIVOS SG S.A.S</t>
  </si>
  <si>
    <t>ALCOHOL ISOPROPILICO 70% EN GEL PARA ANTISEPSIA DE MANOS - FC X 500ML</t>
  </si>
  <si>
    <t>APICOM S.A.S</t>
  </si>
  <si>
    <t>AVANZA INTERNATIONAL GROUP</t>
  </si>
  <si>
    <t>DOTACIONES EN SALUD DOTASALUD JC S.A.S</t>
  </si>
  <si>
    <t>FELIPE MONDRAGON DUQUE</t>
  </si>
  <si>
    <t>DIGITEL TECHNOLOGY S.A.S</t>
  </si>
  <si>
    <t>BUCARAMANGA</t>
  </si>
  <si>
    <t>BGA-011-2020</t>
  </si>
  <si>
    <t>DOTACION DE TRAJES DE BIOSEGURIDAD</t>
  </si>
  <si>
    <t>TRAJES DE PROTECCION CORPORAL MARCA KIMBERLY</t>
  </si>
  <si>
    <t>MONOGAFAS WIND VENTILACION DIRECTA</t>
  </si>
  <si>
    <t>BGA-012-2020</t>
  </si>
  <si>
    <t xml:space="preserve">COMPRAVENTA DE CÁMARAS WEB TIPO HD Y DIADEMAS CON CONEXIÓN USB PARA DESARROLLAR PRINCIPALMENTE LAS AUDIENCIAS DE CONTROL DE GARANTÍAS DEL SISTEMA PENAL ACUSATORIO Y DEL SISTEMA PENAL PARA ADOLESCENTES COMO MECANISMO PARA ATENDER LA EMERGENCIA SANITARIA OCASIONADA POR EL COVID-19 </t>
  </si>
  <si>
    <t>JERSON FABIAN SUAREZ BENITEZ</t>
  </si>
  <si>
    <t>WEBCAMLOGITECH C-270 HD: CÁMARAWEB CON CONECTIVIDAD INALÁMBRICA COLOR NEGRO.</t>
  </si>
  <si>
    <t>DIADEMA LOGITECH USB HEADSET H-390: AURICULARES CON  MICRÓFONO  USB  PARA  ORDENADOR. LAS BOCINAS DE LOS AUDÍFONOS SON DE ALTA CALIDAD REPRODUCEN UN EXCELENTE AUDIO Y EL MICRÓFONO AJUSTABLE CON SUPRESIÓN DE RUIDO ASEGURA UNA COMUNICACIÓN CLARA.</t>
  </si>
  <si>
    <t>BGA-015-2020</t>
  </si>
  <si>
    <t>ADQUISICIÓN DE ELEMENTOS DE PROTECCIÓN PERSONAL ESPECÍFICAMENTE TAPABOCAS REUTILIZABLES</t>
  </si>
  <si>
    <t xml:space="preserve">TURISMO Y TIENDA ESPECIALIZADA EN ALTURAS Y AVENTURA S.A.S </t>
  </si>
  <si>
    <t>TAPABOCAS LAVABLE, CON CAPA ANTIFLUIDO Y CAMBRE, ELÁSTICO A LAS OREJAS, DE TAMAÑO NORMAL Y UN TAMAÑO UN POCO MÁS PEQUEÑO PARA NIÑOS.</t>
  </si>
  <si>
    <t>O.C. 46421</t>
  </si>
  <si>
    <t>SUMINISTRO DE ELEMENTOS DE ASEO Y PROTECCIÓN</t>
  </si>
  <si>
    <t>PANAMERICANA LIBRERÍA Y PAPELERIA SA</t>
  </si>
  <si>
    <t xml:space="preserve">JABON LIQUIDO P/MANOSC/GLICERINA </t>
  </si>
  <si>
    <t>TOALLA P/MANOS BLANCO Z D/HFAJO X150UN COD. 900502987</t>
  </si>
  <si>
    <t>JABON MANOS AVENA/DISPENSADOR COD: 900502307</t>
  </si>
  <si>
    <t>O.C. 48149</t>
  </si>
  <si>
    <t>ADQUISICIÓN DE TERMÓMETROS INFRARROJOS CORPORALES</t>
  </si>
  <si>
    <t>FALABELLA DE COLOMBIA S.A.</t>
  </si>
  <si>
    <t>TERMÓMETRO INFRAROJO DIGITAL- HC</t>
  </si>
  <si>
    <t>O.C. 48150</t>
  </si>
  <si>
    <t>ADQUISICIÓN DE BAYETILLAS BLANCAS DE 35 X 50 CMS PARA LIMPIEZA DE SUPERFICIES</t>
  </si>
  <si>
    <t xml:space="preserve">PANAMERICANA LIBRERÍA Y PAPELERÍA S.A. </t>
  </si>
  <si>
    <t>BAYETILLA BLANCA 35 X 50 CMS. COD:8490681</t>
  </si>
  <si>
    <t>O.C. 48216</t>
  </si>
  <si>
    <t>ADQUISICIÓN DE PA-17 GEL ANTIBACTERIAL - GALÓN</t>
  </si>
  <si>
    <t>JAIME BELTRAN URIBE - POLYFLEX</t>
  </si>
  <si>
    <t>COV01-PA-17 - GEL ANTIBACTERIAL</t>
  </si>
  <si>
    <t>O.C. 48217</t>
  </si>
  <si>
    <t>ADQUISICIÓN DE PA-18 GEL ANTIBACTERIAL - FRASCO X1LT</t>
  </si>
  <si>
    <t xml:space="preserve">JM GRUPO EMPRESARIAL S.A.S </t>
  </si>
  <si>
    <t>COV01-PA-18 - GEL ANTIBACTERIAL -</t>
  </si>
  <si>
    <t>O.C. 48218</t>
  </si>
  <si>
    <t>ADQUISICIÓN DE PA-1 ALCOHOL – FRASCO DE 750 ML</t>
  </si>
  <si>
    <t>COV01-PA-1 - ALCOHOL</t>
  </si>
  <si>
    <t>BGA-016-2020</t>
  </si>
  <si>
    <t>ADQUISICIÓN DE KIT DE DESINFECCIÓN, QUE INCLUYE DE TAPETE EN LÍQUIDO, TAPETE DE SECADO Y SANITIZANTE EN SOLUCIÓN</t>
  </si>
  <si>
    <t>COMERCIALIZADORA DA VINCI SAS</t>
  </si>
  <si>
    <t>KIT CONTIENE 2 TAPETES PARA DESINFECCION EN LIQUIDO</t>
  </si>
  <si>
    <t>KIT</t>
  </si>
  <si>
    <t>TAPETE DESINFECTANTE</t>
  </si>
  <si>
    <t>SANITIZANTE EN SOLUCION</t>
  </si>
  <si>
    <t>O.C. 48345</t>
  </si>
  <si>
    <t>ADQUISICIÓN DE PILAS 9V PARA TERMOMETROS</t>
  </si>
  <si>
    <t>PANAMERICANA LIBRERÍA Y PAPELERÍA S.A.</t>
  </si>
  <si>
    <t>PILA ALKALINA 9V ENERGIZER MAXCOD: 8096731</t>
  </si>
  <si>
    <t>PILAS</t>
  </si>
  <si>
    <t>BGA-017-2020</t>
  </si>
  <si>
    <t>PRESTACIÓN DEL SERVICIO DE ALQUILER DE 53 ESCÁNER CAMA PLANA DE 50PPM PARA FUNCIONAMIENTO DE LOS CENTROS DE ESCANEO EN ALGUNAS SEDES JUDICIALES</t>
  </si>
  <si>
    <t>PC COM S.A.</t>
  </si>
  <si>
    <t xml:space="preserve">SERVICIO DE ALQUILER DE 7 ESCANERES CON INSTALACIÓN </t>
  </si>
  <si>
    <t xml:space="preserve">SERVICIO DE ALQUILER DE 46 ESCANERES  SIN INSTALACIÓN </t>
  </si>
  <si>
    <t xml:space="preserve">ADICION SERVICIO DE ALQUILER DE 53 ESCANERES SIN INSTALACIÓN </t>
  </si>
  <si>
    <t>O.C. 48745</t>
  </si>
  <si>
    <t>ADQUISICIÓN DE GUANTES DE NITRILO, EN LAS CONDICIONES TÉCNICAS, DE CALIDAD Y CANTIDADES REQUERIDAS POR LA ENTIDAD</t>
  </si>
  <si>
    <t xml:space="preserve">OFIBEST SAS </t>
  </si>
  <si>
    <t>O.C. 48844</t>
  </si>
  <si>
    <t>ADQUISICIÓN DE LAVAMANOS PORTÁTILES AUTÓNOMOS COMO MECANISMO DE PREVENCIÓN AL CONTAGIO DEL COVID-19</t>
  </si>
  <si>
    <t>COLOMBIANA DE COMERCIO S.A Y/O ALKOSTO S.A</t>
  </si>
  <si>
    <t>LAVAMANOS AUTONOMO PORTATIL EN ACERO INOXIDABLE</t>
  </si>
  <si>
    <t>O.C 49177</t>
  </si>
  <si>
    <t>ADQUISICIÓN DE DISPENSADORES DE GEL PARA DIFERENTES SEDES JUDICIALES EN LAS CONDICIONES TÉCNICAS, DE CALIDAD Y CANTIDADES REQUERIDAS POR LA ENTIDAD.</t>
  </si>
  <si>
    <t xml:space="preserve">CENCOSUD COLOMBIA S.A. </t>
  </si>
  <si>
    <t>DISPENSADOR DE GEL PLANO TUBERIA 1PULGADA NEGRO</t>
  </si>
  <si>
    <t>O.C. 49312</t>
  </si>
  <si>
    <t>ADQUISICIÓN DE TAPABOCAS DESECHABLES, EN LAS CONDICIONES TÉCNICAS, DE CALIDAD Y CANTIDADES REQUERIDAS POR LA ENTIDAD.</t>
  </si>
  <si>
    <t>O.C 49216</t>
  </si>
  <si>
    <t>ADQUISICIÓN DE TAPABOCAS DESECHABLES EN LAS CONDICIONES TÉCNICAS, DE CALIDAD Y CANTIDADES REQUERIDAS POR LA ENTIDAD</t>
  </si>
  <si>
    <t>INDUHOTEL SAS</t>
  </si>
  <si>
    <t>O.C. 49219</t>
  </si>
  <si>
    <t>ADQUISICIÓN DE TOALLAS PARA MANOS, EN LAS CONDICIONES TÉCNICAS, DE CALIDAD Y CANTIDADES REQUERIDAS POR LA ENTIDAD,</t>
  </si>
  <si>
    <t>PMI PROYECTOS MONTAJES E INGENIERIA</t>
  </si>
  <si>
    <t>TOALLAS PARA MANOS X 150 UNIDADES</t>
  </si>
  <si>
    <t>O.C. 49861</t>
  </si>
  <si>
    <t xml:space="preserve">ADQUISICIÓN DE CARETAS DE PROTECCIÓN, EN LAS CONDICIONES TÉCNICAS, DE CALIDAD Y CANTIDADES REQUERIDAS POR LA ENTIDAD </t>
  </si>
  <si>
    <t>ABBAPLAX SAS</t>
  </si>
  <si>
    <t>CARETAS VISORES</t>
  </si>
  <si>
    <t>BGA-020-2020</t>
  </si>
  <si>
    <t xml:space="preserve"> ADQUISICIÓN DE SEÑALIZACIÓN COVID PARA SEDES JUDICIALES Y ADMINISTRATIVAS</t>
  </si>
  <si>
    <t>RAMIRO BAUTISTA CACERES/ LITOGRAFÍA RABAC DISTRIBUCIONES</t>
  </si>
  <si>
    <t>RÓTULOS INFORMATIVOS EN POLIESTIRENO 50 X 70 CM</t>
  </si>
  <si>
    <t>RÓTULOS INFORMATIVOS EN POLIESTIRENO 30 X 14 CM</t>
  </si>
  <si>
    <t>BGA-021-2020</t>
  </si>
  <si>
    <t>CONTRATAR LA PRESTACIÓN DE SERVICIOS DE APOYO DE VIGÍAS DE SALUD PARA EL FORTALECIMIENTO DE LAS MEDIDAS DE PREVENCIÓN DEL CONTAGIO Y DE LA PROPAGACIÓN DEL COVID -19, ENCARGADOS DE LA TOMA DE TEMPERATURA CORPORAL O DILIGENCIAMIENTO DEL FORMATO DE ESTADO DE SALUD, ENTREGA DE ELEMENTOS DE PROTECCIÓN A SERVIDORES JUDICIALES, CONTRATISTAS Y JUDICANTES, Y DE VELAR POR EL CUMPLIMIENTO DE LOS PROTOCOLOS DE BIOSEGURIDAD DEFINIDOS POR LA ENTIDAD, EN LAS SEDES JUDICIALES DE MAYOR AFLUENCIA DE LA SECCIONAL SANTANDER</t>
  </si>
  <si>
    <t>PREVENCIÓN Y CONTROL DE ENFERMEDADES CONTAGIOSAS (PERFIL 1) POR 1 MES</t>
  </si>
  <si>
    <t>PREVENCIÓN Y CONTROL DE ENFERMEDADES CONTAGIOSAS (PERFIL 2) POR 1 MES</t>
  </si>
  <si>
    <t>O.C. 51658</t>
  </si>
  <si>
    <t>COMPRA DE CAMARAS PARA ESCRITORIO - DIGITECH PRO</t>
  </si>
  <si>
    <t xml:space="preserve">MULTIVERSE TECH SERVICES SAS </t>
  </si>
  <si>
    <t>CAMARAS PARA ESCRITORIO DIGITECH PRO</t>
  </si>
  <si>
    <t>O.C. 52831</t>
  </si>
  <si>
    <t>ADQUISICIÓN DE CARETAS O VISORES PET, EN LAS CONDICIONES TÉCNICAS, DE CALIDAD Y CANTIDADES REQUERIDAS POR LA ENTIDAD.</t>
  </si>
  <si>
    <t>O.C. 52832</t>
  </si>
  <si>
    <t>ADQUISICIÓN DE GUANTES DE NITRILO, EN LAS CONDICIONES TÉCNICAS, DE CALIDAD Y CANTIDADES REQUERIDAS POR LA ENTIDAD.</t>
  </si>
  <si>
    <t>AESTHETICS &amp; MEDICAL SOLUTIONS SAS</t>
  </si>
  <si>
    <t>BGA-025-2020</t>
  </si>
  <si>
    <t>LIMACOR MY SAS</t>
  </si>
  <si>
    <t>MODULOS DE VENTAMERIA EN ALUMINIO PARA ATENCION AL PUBLICO</t>
  </si>
  <si>
    <t>BGA-028-2020</t>
  </si>
  <si>
    <t>P.C. COM S.A.</t>
  </si>
  <si>
    <t>BGA-034-2020</t>
  </si>
  <si>
    <t>GRUPO GESTIÓN EMPRESARIAL COLOMBIA S.A.S</t>
  </si>
  <si>
    <t>ALCOHOL ANTISEPTICO AL 70% 600 ML</t>
  </si>
  <si>
    <t>TOALLAS DE MANO DE PAPEL COLOR NATURAL</t>
  </si>
  <si>
    <t>BGA-039-2020</t>
  </si>
  <si>
    <t>MULTIVERSE</t>
  </si>
  <si>
    <t>CAMARAS</t>
  </si>
  <si>
    <t>O.C. 54638</t>
  </si>
  <si>
    <t>INSTALACION ELEMENTOS</t>
  </si>
  <si>
    <t>O.C. 55340</t>
  </si>
  <si>
    <t>M.A.S EMPRESARIAL SM S.A.S</t>
  </si>
  <si>
    <t>TAPABOCAS TELA NO TEJIDA DOBLE TELA LAVABLE</t>
  </si>
  <si>
    <t>O.C. 55341</t>
  </si>
  <si>
    <t>BON SANTE SAS</t>
  </si>
  <si>
    <t>CALI</t>
  </si>
  <si>
    <t>OC 45989-2020</t>
  </si>
  <si>
    <t>ADQUISICIÓN DE JABÓN LÍQUIDO Y TOALLAS DE PAPEL PARA MANOS, CON DESTINO A LOS FUNCIONARIOS Y EMPLEADOS DE LAS CORPORACIONES Y DESPACHOS JUDICIALES DEL VALLE DEL CAUCA, EN ATENCIÓN Y APLICACIÓN DE LOS LINEAMIENTOS EMITIDOS POR EL MINISTERIO DE TRABAJO EN LA CIRCULAR NO. 0017 DE FECHA 24 DE FEBRERO DE 2020 – COVID-19”.</t>
  </si>
  <si>
    <t>PANAMERICANA LIBRERÍA Y PAPELERIA S.A.</t>
  </si>
  <si>
    <t xml:space="preserve">TOALLA PARA MANOS ROLLO X 100 MT TRIPLE HOJA PRECORTADA POR (500 HOJAS) </t>
  </si>
  <si>
    <t>JABON LIQUIDO PARA MANOS  ORION</t>
  </si>
  <si>
    <t>014-2020</t>
  </si>
  <si>
    <t>CONTRATAR EN NOMBRE DE LA NACIÓN - CONSEJO SUPERIOR DE LA JUDICATURA – DIRECCIÓN EJECUTIVA SECCIONAL DE ADMINISTRACIÓN JUDICIAL DE CALI – VALLE DEL CAUCA, LA ADQUISICIÓN DE ELEMENTOS DE PREVENCIÓN CON DESTINO A LOS FUNCIONARIOS Y EMPLEADOS DE LAS CORPORACIONES Y DESPACHOS JUDICIALES DEL VALLE DEL CAUCA, EN ATENCIÓN Y APLICACIÓN DE LOS LINEAMIENTOS EMITIDOS POR EL CONSEJO SUPERIOR DE LA JUDICATURA EN EL ACUERDO PCSJA20-11516 Y CIRCULAR PCSJC20-6 AMBAS DE FECHA 12 DE MARZO DE 2020 Y LOS DEMÁS SOBRE LA MATERIA.</t>
  </si>
  <si>
    <t>CONASEINVES S.A.S.</t>
  </si>
  <si>
    <t>GAFA DE SEGURIDAD INDUSTRIAL LENTE TRANS</t>
  </si>
  <si>
    <t>GAFAS</t>
  </si>
  <si>
    <t>TAPABOCAS DE 3 PLIEGUES CON CORDÓN ELÁSTICO</t>
  </si>
  <si>
    <t>GUANTES NITRILO CAJA 100 UNIDADES, 50 PARES</t>
  </si>
  <si>
    <t>ADQUISICIÓN DE ELEMENTOS DE PREVENCIÓN CON DESTINO A LOS FUNCIONARIOS Y EMPLEADOS DE LAS CORPORACIONES Y DESPACHOS JUDICIALES DEL VALLE DEL CAUCA, EN ATENCIÓN Y APLICACIÓN DE LOS LINEAMIENTOS EMITIDOS POR EL CONSEJO SUPERIOR DE LA JUDICATURA EN EL ACUERDO PCSJA20-11516 Y CIRCULAR PCSJC20-6 AMBAS DE FECHA 12 DE MARZO DE 2020 Y LOS DEMÁS SOBRE LA MATERIA.</t>
  </si>
  <si>
    <t>OVEROL DE CON CAPUCHA DE BIOSEGURIDAD</t>
  </si>
  <si>
    <t>OC 48145-2020</t>
  </si>
  <si>
    <t>ADQUISICIÓN DE TERMÓMETROS DIGITALES PARA APOYO A LA MITIGACIÓN DEL VIRUS COVID-19 PARA LOS DIFERENTES INMUEBLES DONDE FUNCIONA LA RAMA JUDICIAL DEL VALLE DEL CAUCA</t>
  </si>
  <si>
    <t>FALABELLA DE COLOMBIA SA</t>
  </si>
  <si>
    <t>TERMÓMETRO DIGITAL INFRARROJO (TIENDA VIRTUAL)</t>
  </si>
  <si>
    <t>OC 48322-2020</t>
  </si>
  <si>
    <t>ADQUISICIÓN DE ALCOHOL GLICERINADO (GEL ANTIBACTERIAL) PARA LA ANTISEPSIA DE MANOS DE LOS FUNCIONARIOS Y EMPLEADOS DE LAS CORPORACIONES Y DESPACHOS JUDICIALES DEL VALLE DEL CAUCA, TENIENDO EN CUENTA LA EMERGENCIA SANITARIA QUE SE VIENE PRESENTANDO EN EL PAÍS POR CAUSA DEL VIRUS COVID-19.</t>
  </si>
  <si>
    <t>ALCOHOL ISOPROPILICO EN GEL PARA ANTISEPSIA DE MANOS, 70ML+2G/100ML</t>
  </si>
  <si>
    <t>OC 48655-2020</t>
  </si>
  <si>
    <t>ADQUISICIÓN DE CARETAS DE PROTECCIÓN PARA LOS FUNCIONARIOS Y EMPLEADOS DE LAS CORPORACIONES Y DESPACHOS JUDICIALES DEL VALLE DEL CAUCA, TENIENDO EN CUENTA LA EMERGENCIA SANITARIA QUE SE VIENE PRESENTANDO EN EL PAÍS POR CAUSA DEL VIRUS COVID-19</t>
  </si>
  <si>
    <t>CARETA DE PROTECCIÓN FACIAL</t>
  </si>
  <si>
    <t>OC 48656-2020</t>
  </si>
  <si>
    <t>ADQUISICIÓN DE JABÓN LÍQUIDO PARA LAVADO DE MANOS DE LOS FUNCIONARIOS Y EMPLEADOS DE LAS CORPORACIONES Y DESPACHOS JUDICIALES DEL VALLE DEL CAUCA, TENIENDO EN CUENTA LA EMERGENCIA SANITARIA QUE SE VIENE PRESENTANDO EN EL PAÍS POR CAUSA DEL VIRUS COVID-19</t>
  </si>
  <si>
    <t>JABÓN PARA MANOS - LÍQUIDO</t>
  </si>
  <si>
    <t xml:space="preserve">CONTRATAR EN NOMBRE DE LA NACIÓN - CONSEJO SUPERIOR DE LA JUDICATURA – DIRECCIÓN EJECUTIVA SECCIONAL DE ADMINISTRACIÓN JUDICIAL DE CALI – VALLE DEL CAUCA, LA ADQUISICIÓN DE TAPABOCAS PARA PROTECCIÓN Y USO POR PARTE DE LOS FUNCIONARIOS Y EMPLEADOS DE LAS CORPORACIONES Y DESPACHOS JUDICIALES DEL VALLE DEL CAUCA, TENIENDO EN CUENTA LA EMERGENCIA SANITARIA QUE SE VIENE PRESENTANDO EN EL PAÍS POR CAUSA DEL VIRUS COVID-19. </t>
  </si>
  <si>
    <t>ASOCIACION DESARROLLANDO FUTURO</t>
  </si>
  <si>
    <t>OC 48921-2020</t>
  </si>
  <si>
    <t>ADQUISICIÓN DE BAYETILLAS PARA LA LIMPIEZA DE LOS PUESTOS DE TRABAJO DE LAS CORPORACIONES Y DESPACHOS JUDICIALES DEL VALLE DEL CAUCA, TENIENDO EN CUENTA LA EMERGENCIA SANITARIA QUE SE VIENE PRESENTANDO EN EL PAÍS POR CAUSA DEL VIRUS COVID-19.</t>
  </si>
  <si>
    <t>BAYETILLA DE COLOR ROJO, MEDIDAS 36X50 CM</t>
  </si>
  <si>
    <t>OC 49021-2020</t>
  </si>
  <si>
    <t>ADQUISICIÓN DE ALCOHOL PARA LA PREVENCIÓN DEL CONTAGIO DEL VIRUS COVID-19 DE LOS FUNCIONARIOS Y EMPLEADOS DE LAS CORPORACIONES Y DESPACHOS JUDICIALES DEL VALLE DEL CAUCA, TENIENDO EN CUENTA LA EMERGENCIA SANITARIA QUE SE VIENE PRESENTANDO EN EL PAÍS</t>
  </si>
  <si>
    <t>ALCOHOL ANTISEPTICO DE USO EXTERNO AL 70%, FRASCO PLASTICO</t>
  </si>
  <si>
    <t>OC 49166-2020</t>
  </si>
  <si>
    <t xml:space="preserve">ADQUISICIÓN DE CÁMARAS WEB PARA LAS CORPORACIONES Y DESPACHOS JUDICIALES DEL VALLE DEL CAUCA, TENIENDO EN CUENTA LA EMERGENCIA SANITARIA QUE SE VIENE PRESENTANDO EN EL PAÍS POR CAUSA DEL VIRUS COVID-19.	</t>
  </si>
  <si>
    <t>MULTIVERSE TECH  SERVICES S.A.S</t>
  </si>
  <si>
    <t>CAMARAS WEB PARA COMPUTADOR DE ESCRITORIO - MARCA DIGITECH PRO - RESOLUCIÓN FULL HD 1080P O HD 720P, CON UN CAMPO VISUAL DE HASTA 90 GRADOS, ZOOM DIGITAL 1.2X O 4X, LENTE DE CRISTAL CON CORRECCIÓN DE ILUMINACIÓN AUTOMÁTICA RIGHTLIGTH2 Y ENFOQUE AUTOMÁTICO, INCLUYE SOPORTE AJUSTABLE QUE PERMITA LA COLOCACIÓN SOBRE TODO TIEMPO DE MONITORES, TAPA DE PRIVACIDAD INTEGRADA Y MICRÓFONO CON SUPRESIÓN DE RUIDO, DEBE GARANTIZAR COMPATIBILIDAD CON APLICACIONES DE VIDEOCONFERENCIA Y OTROS EQUIPOS.</t>
  </si>
  <si>
    <t>OC 49167-2020</t>
  </si>
  <si>
    <t>ADQUISICIÓN DE TOALLAS DE PAPEL PARA MANOS PARA USO DE LOS FUNCIONARIOS Y EMPLEADOS DE LAS CORPORACIONES Y DESPACHOS JUDICIALES DEL VALLE DEL CAUCA, TENIENDO EN CUENTA LA EMERGENCIA SANITARIA QUE SE VIENE PRESENTANDO EN EL PAÍS POR CAUSA DEL VIRUS COVID-19.</t>
  </si>
  <si>
    <t>TOALLAS PARA MANOS - ROLLO POR 500 HOJAS</t>
  </si>
  <si>
    <t>CONTRATAR EN NOMBRE DE LA NACIÓN - CONSEJO SUPERIOR DE LA JUDICATURA – DIRECCIÓN EJECUTIVA SECCIONAL DE ADMINISTRACIÓN JUDICIAL DE CALI – VALLE DEL CAUCA, LA ADQUISICIÓN DE LAVAMANOS PORTÁTILES PARA LAS CORPORACIONES Y DESPACHOS JUDICIALES DEL VALLE DEL CAUCA, TENIENDO EN CUENTA LA EMERGENCIA SANITARIA QUE SE VIENE PRESENTANDO EN EL PAÍS POR CAUSA DEL VIRUS COVID-19.</t>
  </si>
  <si>
    <t>FILTRACIÓN INDUSTRIAL Y TRATAMIENTO DE AGUAS LTDA</t>
  </si>
  <si>
    <t>LAVAMANOS PORTATILES EN FIBRA DE VIDRIO</t>
  </si>
  <si>
    <t xml:space="preserve">CONTRATAR EN NOMBRE DE LA NACIÓN - CONSEJO SUPERIOR DE LA JUDICATURA – DIRECCIÓN EJECUTIVA SECCIONAL DE ADMINISTRACIÓN JUDICIAL DE CALI – VALLE DEL CAUCA, LA ADQUISICIÓN DE GUANTES DE NITRILO Y TAPETES DESINFECTANTES PARA LAS CORPORACIONES Y DESPACHOS JUDICIALES DEL VALLE DEL CAUCA, TENIENDO EN CUENTA LA EMERGENCIA SANITARIA QUE SE VIENE PRESENTANDO EN EL PAÍS POR CAUSA DEL VIRUS COVID-19. </t>
  </si>
  <si>
    <t>REDOX COLOMBIA SAS</t>
  </si>
  <si>
    <t>GUANTES DE NITRILO CAJA DE 100 UNIDADES, 50 PARES</t>
  </si>
  <si>
    <t>OC 50590-2020</t>
  </si>
  <si>
    <t>ADQUISICIÓN DE CARETAS FACIALES PARA USO DE LOS FUNCIONARIOS Y EMPLEADOS DE LAS CORPORACIONES Y DESPACHOS JUDICIALES DEL VALLE DEL CAUCA, TENIENDO EN CUENTA LA EMERGENCIA SANITARIA QUE SE VIENE PRESENTANDO EN EL PAÍS POR CAUSA DEL VIRUS COVID-19</t>
  </si>
  <si>
    <t>PLASTICOS FENIX S.A.S</t>
  </si>
  <si>
    <t>025-2020</t>
  </si>
  <si>
    <t>CONTRATAR EN NOMBRE DE LA NACIÓN – CONSEJO SUPERIOR DE LA JUDICATURA – DIRECCIÓN EJECUTIVA SECCIONAL DE ADMINISTRACIÓN JUDICIAL DE CALI – VALLE DEL CAUCA, LA PRESTACIÓN DE SERVICIO DE AUXILIARES DE ENFERMERÍA PARA LAS SEDES JUDICIALES EN EL VALLE DEL CAUCA, TENIENDO EN CUENTA LA EMERGENCIA SANITARIA QUE SE VIENE PRESENTANDO EN EL PAÍS POR CAUSA DEL VIRUS COVID-19 Y LO DISPUESTO EN EL ARTICULO 18 DEL ACUERDO PCSJA20-11567 DEL 05 DE JUNIO DE 2020.</t>
  </si>
  <si>
    <t>CENTRO DE SERVICIOS DE SALUD SANTANGEL SAS</t>
  </si>
  <si>
    <t>SERVICIO DE AUXILIARES DE ENFERMERIA (23 AUXILIARES POR MES PARA 6 MESES)</t>
  </si>
  <si>
    <t xml:space="preserve">CONTRATAR EN NOMBRE DE LA NACIÓN – CONSEJO SUPERIOR DE LA JUDICATURA – DIRECCIÓN EJECUTIVA SECCIONAL DE ADMINISTRACIÓN JUDICIAL DE CALI – VALLE DEL CAUCA, LA ADQUISICION DE DISPENSADORES DE PEDAL PARA ALCOHOL GLICERINADO (GEL ANTIBACTERIAL) Y SUMINISTRO DE TERMÓMETRO INFRARROJO DIGITAL PARA LAS CORPORACIONES Y DESPACHOS JUDICIALES DEL VALLE DEL CAUCA, TENIENDO EN CUENTA LA EMERGENCIA SANITARIA QUE SE VIENE PRESENTANDO EN EL PAÍS POR CAUSA DEL VIRUS COVID-19. </t>
  </si>
  <si>
    <t>MEGA SUMINISTROS SAS</t>
  </si>
  <si>
    <t xml:space="preserve">DISPENSADOR METÁLICO DE PEDAL </t>
  </si>
  <si>
    <t xml:space="preserve">TERMOMETRO INFRAROJO DIGITAL </t>
  </si>
  <si>
    <t>027-2020</t>
  </si>
  <si>
    <t>ADQUISICIÓN DE BATAS DE TRABAJO TENIENDO EN CUENTA LA CIRCULAR PCSJC20-15 DE FECHA 16 DE ABRIL DE 2020, EN VIRTUD DEL PROTOCOLO PARA EL MANEJO DE DOCUMENTOS FÍSICOS, MEDIDAS COVID-19.</t>
  </si>
  <si>
    <t>030-2020</t>
  </si>
  <si>
    <t>ADQUISICIÓN DE TAPABOCAS PARA PROTECCIÓN DE LOS FUNCIONARIOS Y EMPLEADOS DE LAS CORPORACIONES Y DESPACHOS JUDICIALES DEL VALLE DEL CAUCA, TENIENDO EN CUENTA LA EMERGENCIA SANITARIA QUE SE VIENE PRESENTANDO EN EL PAÍS POR CAUSA DEL VIRUS COVID-19</t>
  </si>
  <si>
    <t>MQ INSTITUCIONAL SAS</t>
  </si>
  <si>
    <t>TAPABOCAS QUIRÚRGICO, TRES (3) CAPAS, TRES (3) PLIEGUES, CON ADAPTADOR NASAL AJUSTABLE, BANDAS ELÁSTICAS PARA AJUSTE EN OREJAS, MEDIDAS APROXIMADAS: 175 MM × 95 MM X ± 2 MM, DEBEN VENIR EN EMPAQUE INDIVIDUAL Y TERMO-SELLADOS.</t>
  </si>
  <si>
    <t>TAPABOCAS QUIRÚRGICO, TRES (3) CAPAS, TRES (3) PLIEGUES, CON ADAPTADOR NASAL AJUSTABLE, BANDAS ELÁSTICAS PARA AJUSTE EN OREJAS, MEDIDAS APROXIMADAS: 175 MM × 95 MM X ± 2 MM, DEBEN VENIR EN EMPAQUE INDIVIDUAL Y TERMO-SELLADOS. CAJA DE 50 UNIDADES</t>
  </si>
  <si>
    <t>102-2020</t>
  </si>
  <si>
    <t>CONTRATAR EN NOMBRE DE LA NACIÓN – CONSEJO SUPERIOR DE LA JUDICATURA – DIRECCIÓN EJECUTIVA SECCIONAL DE ADMINISTRACIÓN JUDICIAL DE CALI – VALLE DEL CAUCA, LA ADQUISICIÓN DE ELEMENTOS PARA LA PREVENCIÓN DEL CONTAGIO DEL VIRUS COVID-19, PARA LOS FUNCIONARIOS Y EMPLEADOS DE LAS CORPORACIONES Y DESPACHOS JUDICIALES DEL VALLE DEL CAUCA</t>
  </si>
  <si>
    <t>LITROS</t>
  </si>
  <si>
    <t>CARTAGENA</t>
  </si>
  <si>
    <t>CT04-24-2020</t>
  </si>
  <si>
    <t>ADQUISICIÓN DE DOTACIÓN DE BIOSEGURIDAD CONSISTENTE EN TRAJES DE PROTECCIÓN CORPORAL PARA SERVIDORES JUDICIALES ESPECIALMENTE DE LOS JUZGADOS DE GARANTÍAS, EN LAS CONDICIONES TÉCNICAS, DE CALIDAD Y CANTIDADES REQUERIDAS POR LA ENTIDAD</t>
  </si>
  <si>
    <t>TRAJES DE PROTECCIÓN CORPORAL CARTAGENA</t>
  </si>
  <si>
    <t>CT04-25-2020</t>
  </si>
  <si>
    <t>ADQUISICIÓN DE GEL ANTIBACTERIAL PARA LOS SERVIDORES JUDICIALES Y EMPLEADOS JUDICIALES DE LAS OFICINAS ADMINISTRATIVAS Y DESPACHOS JUDICIALES A CARGO DE LA DIRECCIÓN SECCIONAL DE ADMINISTRACIÓN JUDICIAL DE CARTAGENA.</t>
  </si>
  <si>
    <t>SEBASTIAN VALENCIA ARANGO</t>
  </si>
  <si>
    <t>CT04-34-2020</t>
  </si>
  <si>
    <t>COMPRA DE TAPABOCAS DESECHABLE Y DE TELA PARA LA PROTECCIÓN PERSONAL DE LOS SERVIDORES JUDICIALES Y EMPLEADOS JUDICIALES DE LAS OFICINAS ADMINISTRATIVAS Y DESPACHOS JUDICIALES
A CARGO DE LA DIRECCIÓN SECCIONAL DE ADMINISTRACIÓN JUDICIAL DE CARTAGENA.</t>
  </si>
  <si>
    <t>INGENYO S.A.S</t>
  </si>
  <si>
    <t>TAPABOCAS DESECHABLES GMTG15</t>
  </si>
  <si>
    <t>TAPABOCAS REUTIIZABLES GMTG15</t>
  </si>
  <si>
    <t>CT04-36-2020</t>
  </si>
  <si>
    <t>COMPRA DE TERMÓMETROS INFRARROJOS, ALCOHOL Y TOALLAS DE PAPEL, PARA LA PROTECCIÓN PERSONAL Y PREVENCIÓN DE CONTAGIO DE COVID-19 DE LOS SERVIDORES JUDICIALES Y EMPLEADOS JUDICIALES DE LAS OFICINAS ADMINISTRATIVAS Y DESPACHOS JUDICIALES A CARGO DE LA DIRECCIÓN SECCIONAL DE ADMINISTRACIÓN JUDICIAL DE CARTAGENA.</t>
  </si>
  <si>
    <t>VIALCONSULTORES S.A</t>
  </si>
  <si>
    <t>TERMÓMETRO INFRARROJO</t>
  </si>
  <si>
    <t>TOALLA PARA MANOS EN ROLLO 15 CM ANCHO Y 100 M LARGO</t>
  </si>
  <si>
    <t>FRASCO ALCOHOL ANTISÉPTICO AL 70%</t>
  </si>
  <si>
    <t>CT04-38-2020</t>
  </si>
  <si>
    <t>COMPRA DE GUANTES DE NITRILO, PARA LA PROTECCIÓN PERSONAL Y PREVENCIÓN DE CONTAGIO DE COVID-19 DE LOS SERVIDORES JUDICIALES Y EMPLEADOS JUDICIALES DE LAS OFICINAS ADMINISTRATIVAS Y DESPACHOS JUDICIALES A CARGO DE LA DIRECCIÓN SECCIONAL DE ADMINISTRACIÓN JUDICIAL DE CARTAGENA.</t>
  </si>
  <si>
    <t>CAJA X 100 UNIDADES DE GUANTES DE NITRILO DESECHABLES</t>
  </si>
  <si>
    <t>O.C. 47627</t>
  </si>
  <si>
    <t>CONTRATAR EN NOMBRE DE LA NACIÓN – CONSEJO SUPERIOR DE LA JUDICATURA EL SERVICIO DE SUMINISTRO DE GEL ANTIBACTERIAL Y GUANTES QUIRÚRGICOS PARA LOS DIFERENTES DESPACHOS JUDICIALES Y OFICINAS ADMINISTRATIVAS A CARGO DE LA DIRECCIÓN SECCIONAL DE ADMINISTRACIÓN JUDICIAL DE CARTAGENA, ESTE PROCEDIMIENTO SERÁ REALIZADO MEDIANTE LA PLATAFORMA DE TIENDA VIRTUAL DEL ESTADO COLOMBIANO DE COLOMBIA</t>
  </si>
  <si>
    <t>2020/04/27</t>
  </si>
  <si>
    <t>CAJA X 100 UNIDADES DE GUANTES QUIRÚRGICOS.</t>
  </si>
  <si>
    <t>O.C. 47628</t>
  </si>
  <si>
    <t>GEL ANTIBACTERIAL 1 LITRO</t>
  </si>
  <si>
    <t>O.C. 48032</t>
  </si>
  <si>
    <t>ADQUISICIÓN DE DOTACIÓN DE TAPABOCAS DESECHABLES Y DE TELA PARA SERVIDORES JUDICIALES Y EMPLEADOS JUDICIALES DE LAS OFICINAS ADMINISTRATIVAS Y DESPACHOS JUDICIALES A CARGO DE LA DIRECCIÓN SECCIONAL DE ADMINISTRACIÓN JUDICIAL DE CARTAGENA.</t>
  </si>
  <si>
    <t>TECNOINNSOFT SAS</t>
  </si>
  <si>
    <t>TAPABOCAS DOBLE TELA</t>
  </si>
  <si>
    <t>O.C. 48033</t>
  </si>
  <si>
    <t>ADQUISICIÓN DE DOTACIÓN DE GUANTES DE NITRILO PARA SERVIDORES JUDICIALES Y EMPLEADOS JUDICIALES DE LAS OFICINAS ADMINISTRATIVAS Y DESPACHOS JUDICIALES A CARGO DE LA DIRECCIÓN SECCIONAL DE ADMINISTRACIÓN JUDICIAL DE CARTAGENA.</t>
  </si>
  <si>
    <t>GUANTES DE NITRILO CAJA X 100</t>
  </si>
  <si>
    <t>O.C. 48052</t>
  </si>
  <si>
    <t>SERVICIO DE SUMINISTRO DE ELEMENTOS DE PROTECCIÓN PERSONAL Y ASEO, JABON LIQUIDO PARA MANOS, PARA LOS DIFERENTES DESPACHOS JUDICIALES Y OFICINAS ADMINISTRATIVAS A CARGO DE LA DIRECCIÓN SECCIONAL DE ADMINISTRACIÓN JUDICIAL DE CARTAGENA</t>
  </si>
  <si>
    <t>PAPER BOX SP SAS</t>
  </si>
  <si>
    <t xml:space="preserve">JABÓN LÍQ_MANOS PLÁST. </t>
  </si>
  <si>
    <t>O.C. 48718</t>
  </si>
  <si>
    <t>SERVICIO DE SUMINISTRO DE PANOLAS O BAYETILLAS Y BOLSAS PLÁSTICAS DE BIOSEGURIDAD PARA LOS DIFERENTES DESPACHOS JUDICIALES Y OFICINAS ADMINISTRATIVAS A CARGO DE LA DIRECCIÓN SECCIONAL DE ADMINISTRACIÓN JUDICIAL DE CARTAGENA</t>
  </si>
  <si>
    <t>PANAMERICANA PAPELERIA Y LIBRERÍA</t>
  </si>
  <si>
    <t>BAYETILLA BLANCA 35X50 CMS</t>
  </si>
  <si>
    <t>BOLSA PLÁSTICA ROJA 50X60 CMS</t>
  </si>
  <si>
    <t>PAQUETE X 100</t>
  </si>
  <si>
    <t>BOLSAS</t>
  </si>
  <si>
    <t>BOLSA PLÁSTICA ROJA 50X50 CMS</t>
  </si>
  <si>
    <t>O.C. 49620</t>
  </si>
  <si>
    <t>SUMINISTRO CARETAS ANTIFLUIDOS PARA LOS EMPLEADOS DE LOS DIFERENTES DESPACHOS JUDICIALES Y OFICINAS ADMINISTRATIVAS A CARGO DE LA DIRECCIÓN SECCIONAL DE ADMINISTRACIÓN JUDICIAL DE CARTAGENA, ESTE PROCEDIMIENTO SERÁ REALIZADO MEDIANTE GRANDES SUPERFICIES DE LA PLATAFORMA DE TIENDA VIRTUAL DEL ESTADO COLOMBIANO DE COLOMBIA COMPRA EFICIENTE.</t>
  </si>
  <si>
    <t>COLOMBIANA DE COMERCIO S.A
Y/O ALKOSTO S.A</t>
  </si>
  <si>
    <t>CARETA ANTIFLUIDOS</t>
  </si>
  <si>
    <t>O.C. 49715</t>
  </si>
  <si>
    <t>SUMINISTRO DE DISPENSADORES DE GEL O
JABÓN PARA LOS DIFERENTES DESPACHOS JUDICIALES Y
OFICINAS ADMINISTRATIVAS A CARGO DE LA DIRECCIÓN
SECCIONAL DE ADMINISTRACIÓN JUDICIAL DE
CARTAGENA,</t>
  </si>
  <si>
    <t>DISPENSADOR DE GEL PLANO EN TUBERIA DE 1 PULGADA</t>
  </si>
  <si>
    <t>O.C. 49843</t>
  </si>
  <si>
    <t>SUMINISTRO DE TAPABOCAS DE TELA PARA
LOS DIFERENTES DESPACHOS JUDICIALES Y OFICINAS
ADMINISTRATIVAS A CARGO DE LA DIRECCIÓN SECCIONAL
DE ADMINISTRACIÓN JUDICIAL DE CARTAGENA,</t>
  </si>
  <si>
    <t>COMERCIALIZADORA ARTURO
CALLE</t>
  </si>
  <si>
    <t>TAPABOCA TELA POLYESTER ANTIFLUIDO</t>
  </si>
  <si>
    <t>O.C. 50863</t>
  </si>
  <si>
    <t xml:space="preserve">SUMINISTRO DE CARETAS ANTIFLUIDOS PARA LOS EMPLEADOS DE LOS DIFERENTES DESPACHOS JUDICIALES Y OFICINAS ADMINISTRATIVAS A CARGO DE LA DIRECCIÓN SECCIONAL DE ADMINISTRACIÓN JUDICIAL DE CARTAGENA, </t>
  </si>
  <si>
    <t>PLASTICOS FENIX SAS</t>
  </si>
  <si>
    <t>CARETA VISOR (PROTECTOR FACIAL)</t>
  </si>
  <si>
    <t>O.C. 51093</t>
  </si>
  <si>
    <t>SUMINISTRO DE GEL ANTIBACTERIAL, PARA LOS
EMPLEADOS DE LOS DIFERENTES DESPACHOS JUDICIALES
Y OFICINAS ADMINISTRATIVAS A CARGO DE LA DIRECCIÓN
SECCIONAL DE ADMINISTRACIÓN JUDICIAL DE
CARTAGENA,</t>
  </si>
  <si>
    <t>COSMETICOS SAMY S.A.</t>
  </si>
  <si>
    <t>O.C. 51157</t>
  </si>
  <si>
    <t>SUMINISTRO DE CANECAS DE BIOSEGURIDAD PARA LOS EDIFICIOS A CARGO DE LA DIRECCIÓN SECCIONAL DE ADMINISTRACIÓN JUDICIAL DE CARTAGENA,</t>
  </si>
  <si>
    <t>PAPELERA PEDAL REDONDA 12 LT</t>
  </si>
  <si>
    <t>O.C. 51349</t>
  </si>
  <si>
    <t>SUMINISTRO DE CANECAS DE DESECHOS PARA LOS EDIFICIOS A CARGO DE LA DIRECCIÓN SECCIONAL DE ADMINISTRACIÓN JUDICIAL DE CARTAGENA,</t>
  </si>
  <si>
    <t>CANECA TAPA VAIVEN</t>
  </si>
  <si>
    <t>CANECA TAPA PEDAL</t>
  </si>
  <si>
    <t>ORDEN DE COMPRA 54893</t>
  </si>
  <si>
    <t>830001338-1</t>
  </si>
  <si>
    <t>GEL ANTIBACTERIAL GALON</t>
  </si>
  <si>
    <t>ORDEN DE COMPRA 55150</t>
  </si>
  <si>
    <t>89030768-1</t>
  </si>
  <si>
    <t>CARETA DE BIOSEGURIDAD</t>
  </si>
  <si>
    <t xml:space="preserve">UNIDAD </t>
  </si>
  <si>
    <t>ORDEN DE COMPRA 55182</t>
  </si>
  <si>
    <t>XP COLOMBIA S.AS</t>
  </si>
  <si>
    <t>900218414-4</t>
  </si>
  <si>
    <t>TAPABOCA TELA</t>
  </si>
  <si>
    <t>CT04-119-2020</t>
  </si>
  <si>
    <t>MAQUINAGRO S.A.S</t>
  </si>
  <si>
    <t>830145805-6</t>
  </si>
  <si>
    <t>MAQUINA DE DESINFECCION</t>
  </si>
  <si>
    <t>CÚCUTA</t>
  </si>
  <si>
    <t>C003-2020</t>
  </si>
  <si>
    <t>SUMINISTRO DE
DOSCIENTAS CINCUENTA (250) CAJAS X (50 UNIDADES) DE TAPABOCAS COMÚN; Y
SEISCIENTAS (600) UNIDADES DE TAPABOCAS RESPIRADOR N95.</t>
  </si>
  <si>
    <t>CARLOS ALFREDO RANGEL
SANDOVAL</t>
  </si>
  <si>
    <t>TAPABOCAS COMÚN CON ELÁSTICO</t>
  </si>
  <si>
    <t>SUMINISTRO DE DOSCIENTAS CINCUENTA (250) CAJAS X (50 UNIDADES) DE TAPABOCAS COMÚN; Y SEISCIENTAS (600) UNIDADES DE TAPABOCAS RESPIRADOR N95.</t>
  </si>
  <si>
    <t>TAPABOCAS RESPIRADOR N95 M8210</t>
  </si>
  <si>
    <t>C004-2020</t>
  </si>
  <si>
    <t>SERVICIO DE TRES (3) CICLOS DE DESINFECCION POR MEDIO DE ASPERSIÓN PARA VIRUS, BACTERIAS, Y HONGOS, LOS DESPACHOS JUDICIALES Y ÁREAS DE ARCHIVOS DEL BLOQUE A, B, Y C, GIMNASIO Y ZONAS COMUNES DEL PALACIO DE JUSTICIA DE CÚCUTA…</t>
  </si>
  <si>
    <t>AGROFORESTALES WILMADERAS S.A.S</t>
  </si>
  <si>
    <t>TRES (3) CICLOS DE DESINFECCIÓN POR MEDIO DE ASPERSIÓN</t>
  </si>
  <si>
    <t>GLOBAL</t>
  </si>
  <si>
    <t>SERVICIO DE DESINFECCION</t>
  </si>
  <si>
    <t>O.C. 47390</t>
  </si>
  <si>
    <t>COMPRA DE TEMOMETROS INFLAROJOS, GUANTES DE VITRILO PAPELERA PEDAL 22LT</t>
  </si>
  <si>
    <t>GUANTE NITRILO CAJA X100</t>
  </si>
  <si>
    <t>TERMÓMETRO DIGITAL  INFRARROJO</t>
  </si>
  <si>
    <t>TAPABOCAS DESECHABLE</t>
  </si>
  <si>
    <t>PAPELERA PEDAL DE 22LITROS</t>
  </si>
  <si>
    <t>AO-013-2020</t>
  </si>
  <si>
    <t>CONTRATAR EN NOMBRE DE LA NACIÓN CONSEJO SUPERIOR DE LA JUDICATURA – DIRECCIÓN SECCIONAL DE ADMINISTRACIÓN JUDICIAL DE CÚCUTA, EL SUMINISTRO DE 500 BATAS PARA LOS DESPACHOS JUDICIALES DE LOS MUNICIPIOS DE LOS DEPARTAMENTOS DE NORTE DE SANTANDER Y ARAUCA, EN LAS CONDICIONES TÉCNICAS DE CALIDAD Y CANTIDAD ESTABLECIDAS POR EL CONSEJO SUPERIOR DE LA JUDICATURA.</t>
  </si>
  <si>
    <t>SUPERIOR DE DOTACIONES SAS</t>
  </si>
  <si>
    <t xml:space="preserve">BATAS EN TELA POLIÉSTER Y ALGODÓN, MANGA CORTA. </t>
  </si>
  <si>
    <t>AO-014-2020</t>
  </si>
  <si>
    <t>CONTRATAR EN NOMBRE DE LA NACIÓN CONSEJO SUPERIOR DE LA JUDICATURA – DIRECCIÓN SECCIONAL DE ADMINISTRACIÓN JUDICIAL DE CÚCUTA, EL SUMINISTRO DE 51 TERMÓMETROS DIGITAL SIN CONTACTO PARA LOS DESPACHOS JUDICIALES DE LOS MUNICIPIOS DE LOS DEPARTAMENTOS DE NORTE DE SANTANDER Y ARAUCA, EN LAS CONDICIONES TÉCNICAS DE CALIDAD Y CANTIDAD ESTABLECIDAS POR EL CONSEJO SUPERIOR DE LA JUDICATURA.</t>
  </si>
  <si>
    <t>SUMINISTROS DE LABORATORIO KSALAB</t>
  </si>
  <si>
    <t>TERMÓMETRO DIGITAL INFRARROJO SIN CONTACTO</t>
  </si>
  <si>
    <t>AO-015-2020</t>
  </si>
  <si>
    <t xml:space="preserve">CONTRATAR EN NOMBRE DE LA NACIÓN – CONSEJO SUPERIOR DE LA JUDICATURA – DIRECCIÓN SECCIONAL DE ADMINISTRACIÓN JUDICIAL CÚCUTA, EL SUMINISTRO DE: 6 LAVAMANOS FIJOS; 2 LAVAMANOS PORTÁTILES; 39 PORTA DISPENSADOR DE ANTIBACTERIAL; EN LAS CONDICIONES TÉCNICAS DE CALIDAD Y CANTIDAD ESTABLECIDAS POR EL CONSEJO SUPERIOR DE LA JUDICATURA DE CONFORMIDAD CON LO PREVISTO EN EL ARTICULO 42 DE LA LEY 80 DE 1993. </t>
  </si>
  <si>
    <t>MANTENIMIENTOS INDUSTRIALES WILLIAM ARAQUE</t>
  </si>
  <si>
    <t>LAVAMANOS PORTÁTILES ACERO INOX.</t>
  </si>
  <si>
    <t>LAVAMANOS FIJOS ACERO INOX.</t>
  </si>
  <si>
    <t>DISPENSADOR DE ANTIBACTERIAL ACERO INOX.</t>
  </si>
  <si>
    <t>AO-016-2020</t>
  </si>
  <si>
    <t>CONTRATAR EN NOMBRE DE LA NACIÓN CONSEJO SUPERIOR DE LA JUDICATURA – DIRECCIÓN SECCIONAL DE ADMINISTRACIÓN JUDICIAL DE CÚCUTA, EL SUMINISTRO DE: 47 BANDEJAS MEDIANAS (60X50CMS) PARA DESINFECCIÓN DE CALZADO CON PAÑO ESPECIAL ABSORBENTE (PARA EVITAR DERRAMES O SALPICADURAS FUERA DEL ÁREA), Y TAPETE PARA SECAR SUELA DE ZAPATOS (DESPUÉS DE DESINFECTAR PARA NO DERRAMAR LÍQUIDO EN EL PISO); Y 12 BANDEJAS GRANDES (60X120CMS) PARA DESINFECCIÓN DE CALZADO CON PAÑO ESPECIAL ABSORBENTE (PARA EVITAR DERRAMDERRAMES O SALPICADURAS FUERA DEL ÁREA), Y TAPETE PARA SECAR SUELA DE ZAPATOS (DESPUÉS DE DESINFECTAR PARA NO DERRAMAR LÍQUIDO, EN LAS CONDICIONES TÉCNICAS DE CALIDAD Y CANTIDAD ESTABLECIDAS POR EL CONSEJO SUPERIOR DE LA JUDICATURA.</t>
  </si>
  <si>
    <t xml:space="preserve">MANTENIMIENTOS INDUSTRIALES WILLIAM ARAQUE </t>
  </si>
  <si>
    <t>BANDEJA PARA DESINFECCIÓN DE CALZADO 60X50 CM LAMINA CAL.18</t>
  </si>
  <si>
    <t>BANDEJA PARA DESINFECCION CALZADO 60X120 CM LAMINA CAL.18</t>
  </si>
  <si>
    <t>O.C. 48657</t>
  </si>
  <si>
    <t>SUMINISTRO DE TAPABOCAS PARA LA EMERGENCIA DEL COVID 19</t>
  </si>
  <si>
    <t>O.C. 48659</t>
  </si>
  <si>
    <t>SUMINISTRO DE GUANTES DE NITRITO PARA ATENDER LA EMERGENCIA COVID 19</t>
  </si>
  <si>
    <t>PANAMERICANA PAPELERIA Y LIBRERÍA SAS</t>
  </si>
  <si>
    <t>O.C. 48594</t>
  </si>
  <si>
    <t xml:space="preserve"> SUMINISTRO DE TAPABOCAS PARA LA EMERGENCIA DEL COVID 19</t>
  </si>
  <si>
    <t>FABIAN PEREZ</t>
  </si>
  <si>
    <t>AO-020-2020</t>
  </si>
  <si>
    <t>MANTENIMIENTO HELIO E.S.T. SAS</t>
  </si>
  <si>
    <t>VIGIAS DE LA SALUD (POR 3 MESES)</t>
  </si>
  <si>
    <t>AO-021-2020</t>
  </si>
  <si>
    <t>CONTRATAR EN NOMBRE DE LA NACIÓN CONSEJO SUPERIOR DE LA JUDICATURA – DIRECCIÓN SECCIONAL DE ADMINISTRACIÓN JUDICIAL DE CÚCUTA, EL SUMINISTRO DE 60 PORTA DISPENSADOR DE ANTIBACTERIAL PARA LA PREVENCIÓN DE LA PANDEMIA COVID19; EN LAS CONDICIONES TÉCNICAS DE CALIDAD Y CANTIDAD ESTABLECIDAS POR EL CONSEJO SUPERIOR DE LA JUDICATURA</t>
  </si>
  <si>
    <t>NOHORA HAYDEE VILLAMIZAR VIVAS</t>
  </si>
  <si>
    <t>DISPENSADOR DE GEL EN ACERO INOXIDABLE</t>
  </si>
  <si>
    <t>AO-025-2020</t>
  </si>
  <si>
    <t>LOGISTICA Y MONTAJES S.A.M S.A.S.</t>
  </si>
  <si>
    <t>CARPA</t>
  </si>
  <si>
    <t>AO-027-2020</t>
  </si>
  <si>
    <t>COMERCIALIZADORA CAFE BOTERO SAS</t>
  </si>
  <si>
    <t>DIADEMA</t>
  </si>
  <si>
    <t>AO-028-2020</t>
  </si>
  <si>
    <t xml:space="preserve"> PATIÑO Y CONTRERAS CIA SAS</t>
  </si>
  <si>
    <t>AO-029-2020</t>
  </si>
  <si>
    <t xml:space="preserve"> CLAVIJO BUENO JHON ALFREDO</t>
  </si>
  <si>
    <t>AO-038-2020</t>
  </si>
  <si>
    <t>MULTICOMPUTO CUCUTA S.A.S</t>
  </si>
  <si>
    <t>ASPERSOR</t>
  </si>
  <si>
    <t>AO-040-2020</t>
  </si>
  <si>
    <t xml:space="preserve">PATIÑO Y CONTRERAS CIA SAS - OFICANON - </t>
  </si>
  <si>
    <t>AO-045-2020</t>
  </si>
  <si>
    <t>JHON ALFREDO CLAVIJO BUENO TREFINOR INGENIEROS ASOCIADOS</t>
  </si>
  <si>
    <t>PANTALLAS PROTECTORAS  PARA SALAS DE AUDIENCIA</t>
  </si>
  <si>
    <t xml:space="preserve">
SUMINISTRO DE SCANER CAMA BAJA CON DESTINO A DESPACHOS JUDICIALES Y DEPENDENCIAS ADMINISTRATIVAS  </t>
  </si>
  <si>
    <t xml:space="preserve">SUMINISTRO DE GEL ANTIBACTERIAL, JABON LIQUIDO Y TOALLAS DE PAPEL PARA MANOS CON DESTINO A LOS DESPACHOS JUDICIALES DE NORTE DE SANTANDER Y ARAUCA </t>
  </si>
  <si>
    <t>GALON</t>
  </si>
  <si>
    <t>DISPENSADORES PLASTICOS BLANCOS DE TOALLAS EN Z PARA MANOS</t>
  </si>
  <si>
    <t>CENCOSUD COLOMBIA S.A</t>
  </si>
  <si>
    <t xml:space="preserve">DISPENSADOR TOALLAS </t>
  </si>
  <si>
    <t>SUMIISTRO DE CAMARAS WED Y DIADEMAS PARA LA VIRTUALIDAD</t>
  </si>
  <si>
    <t>DIADEMA PARA COMPUTADOR</t>
  </si>
  <si>
    <t>CAMARA WEB FACE</t>
  </si>
  <si>
    <t xml:space="preserve">SUMINISTRO DE TERMOMETROS </t>
  </si>
  <si>
    <t> 900155107</t>
  </si>
  <si>
    <t xml:space="preserve">SUMINISTRO DE CANECAS COLOR VERDE O GRIS CON DESTINO A DESPACHOS JUDICIALES  </t>
  </si>
  <si>
    <t>CANECA PLASTICA</t>
  </si>
  <si>
    <t>SUMINISTRO DE CARETAS </t>
  </si>
  <si>
    <t>CARETA</t>
  </si>
  <si>
    <t>SUMINISTRO DE TERMOMETROS DIGITALES INFRAROJOS.</t>
  </si>
  <si>
    <t>SUMINISTRO DE AMONIO CUATERNARIO</t>
  </si>
  <si>
    <t>FERREICENTROS SAS</t>
  </si>
  <si>
    <t>AMONIO</t>
  </si>
  <si>
    <t>SUMINISTRO DE CARETAS CON DESTINO A LOS DESPACHOS JUDICIALES.S/N ORDEN DE COMPRA 60627.</t>
  </si>
  <si>
    <t>PANAMERICANA LIBRERIA Y PAPELERIA SA</t>
  </si>
  <si>
    <t>SUMINISTRO DE TAPABOCAS CON DESTINO A LOS DESPACHOS JUDICIALES.Y DEPENDENCIAS ADMINISTRATIVAS S/N ORDEN DE COMPRA 60629.</t>
  </si>
  <si>
    <t>FALABELLA DE COLOMBIA S A</t>
  </si>
  <si>
    <t>TAPABOCA</t>
  </si>
  <si>
    <t>SUMINISTRO DE GEL ANTIBACTERIAL Y TOALLAS PARA MANOS CON DESTINO A DESP JUDIC Y DEP ADTIVAS NDES Y ARAUCA.</t>
  </si>
  <si>
    <t>SUMIMAS S A S</t>
  </si>
  <si>
    <t>TOALLAS DE MANO KIMBERLY PAQUETE X 150 REF. 603</t>
  </si>
  <si>
    <t>TOALLAS DE PAPEL</t>
  </si>
  <si>
    <t>IBAGUÉ</t>
  </si>
  <si>
    <t>CUM26-001</t>
  </si>
  <si>
    <t>ADQUISICIÓN DE TRAJES DE BIOSEGURIDAD COMO MEDIDA DE PREVENCIÓN DE CONTAGIO Y PROPAGACIÓN DEL COVID-19 DE LOS SERVIDORES QUE LABORAN EN EL DISTRITO JUDICIAL DE IBAGUÉ, EN ATENCIÓN A LA DECLARATORIA DE URGENCIA MANIFIESTA REALIZADA POR EL CSJ</t>
  </si>
  <si>
    <t>INCINERADOS DEL HUILA – INCIHUILA S.A. E.S.P.</t>
  </si>
  <si>
    <t>TRAJE DE PROTECCION CORPORAL EN TELA JURIDICA</t>
  </si>
  <si>
    <t>CUM26-002</t>
  </si>
  <si>
    <t xml:space="preserve">LA ADQUISICIÓN DE ELEMENTOS DE PROTECCIÓN PERSONAL, LIMPIEZA Y DESINFECCIÓN,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t>
  </si>
  <si>
    <t>TAPABOCA QUIRURIGICO INDUSTRIAL 2 BANDAS</t>
  </si>
  <si>
    <t>GUANTES DE NITRILO DIFERENTES TALLAS CAJA X 100</t>
  </si>
  <si>
    <t>GEL ANTIBACTERIAL CONCENTRACIÓN MINIMA DEL 60%</t>
  </si>
  <si>
    <t>JABÓN ANTIBACTERIAL CONCENTRACIÓN MINIMA DEL 6%</t>
  </si>
  <si>
    <t>TERMOMETROS DIGITALES INFRARROJO UNIDAD</t>
  </si>
  <si>
    <t>LAVAMANOS UNIDAD</t>
  </si>
  <si>
    <t>003 DE 2020</t>
  </si>
  <si>
    <t xml:space="preserve">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t>
  </si>
  <si>
    <t>GUANTES</t>
  </si>
  <si>
    <t>GEL GALON</t>
  </si>
  <si>
    <t xml:space="preserve">GEL </t>
  </si>
  <si>
    <t>PAPELERA ROTULADA</t>
  </si>
  <si>
    <t>BOLSA</t>
  </si>
  <si>
    <t>DISPENSADORES</t>
  </si>
  <si>
    <t>CON26-003 DE 2020</t>
  </si>
  <si>
    <t>CONTRATAR EN NOMBRE DE LA NACIÓN — CONSEJO SUPERIOR DE LA JUDICATURA — DIRECCIÓN SECCIONAL DE ADMINISTRACIÓN JUDICIAL DE LLAGUÉ TOLIMA, LA PRESTACIÓN DEL SERVICIO DE VIGÍAS DE LA SALUD PARA LOS PALACIOS DE JUSTICIA DE ESTE DISTRITO JUDICIAL Y EN LAS SEDES ALTERNAS EN LA CIUDAD DE IBAGUÉ, PARA LA PREVENCIÓN DEL CONTAGIO Y PROPAGACIÓN DEL COVID-19</t>
  </si>
  <si>
    <t>CRUZ ROJA COLOMBIANA - SECCIONAL TOLIMA</t>
  </si>
  <si>
    <t>PERSONAL QUE CUMPLA FUNCIONES DE VIGIAS DE SALUD (3 MESES)</t>
  </si>
  <si>
    <t>IBAGUE</t>
  </si>
  <si>
    <t>CON26-007 DE 2020</t>
  </si>
  <si>
    <t>PERSONAL QUE CUMPLA FUNCIONES DE VIGIAS DE SALUD (96 DÍAS)</t>
  </si>
  <si>
    <t>SI-TVE-05 DE 2020</t>
  </si>
  <si>
    <t>MEMCO SAS</t>
  </si>
  <si>
    <t>PROCTECH TECNOLOGIA EN PROTECCION S.A.S.</t>
  </si>
  <si>
    <t>INDUSTRIAS QUIMICAS Y MANTENIMIENTO QUIMANT S.A.S.</t>
  </si>
  <si>
    <t>MARCELA ALEXANDRA MESA</t>
  </si>
  <si>
    <t>MANIZALES</t>
  </si>
  <si>
    <t>CE-06-2020</t>
  </si>
  <si>
    <t>SUMINISTRO TRAJES DE BIOSEGURIDAD PERSONAL.</t>
  </si>
  <si>
    <t>TECHNICAL SOLUTIONS SAFETY S.A.S.</t>
  </si>
  <si>
    <t xml:space="preserve">TRAJE DE PROTECCIÓN CORPORAL MARCA KIMBERLY, PROTECCIÓN CONTRA SALPICADURAS Y PARTICULAS, SON LOS TRAJES DE USO LIMITADO, IDEALES PARA PROTEGER A LAS PERSONAS CON UN EXCELENTE NIVEL DE RESPIRABILIDAD, DE LA NO PENETRACIÓN DE SALPICADURAS DE LÍQUIDOS NO PELIGROSOS (QUIMÍCOS ) Y PARTÍCULAS AL CUERPO DEL USUARIO. TALLAS DISPONIBLES L Y XL </t>
  </si>
  <si>
    <t>CE-07-2020</t>
  </si>
  <si>
    <t>SUMINISTRO DE ELEMENTOS DE PROTECCIÓN (GUANTES Y TAPABOCAS)</t>
  </si>
  <si>
    <t>CALDAS MEDICAS S.A.S.</t>
  </si>
  <si>
    <t>GUANTES DESECHABLES LATEX CAJA X 100 UND. MARCA EXAMTEX. TALLA M</t>
  </si>
  <si>
    <t>GUANTES DESECHABLES LATEX CAJA X 100 UND. MARCA EXAMTEX. TALLA L</t>
  </si>
  <si>
    <t>TAPABOCAS DESECHABLES MARCA CALMEDIC</t>
  </si>
  <si>
    <t>TAPABOCAS N95 CON FILTRO DE CARBONO (BOLSA INDIVIDUAL). MARCA ZUBI OLA</t>
  </si>
  <si>
    <t>CE-08-2020</t>
  </si>
  <si>
    <t>SUMINISTRO TRAJES DE BIOSEGURIDAD PERSONAL CHEMMAX1 (REUTILIZABLE)</t>
  </si>
  <si>
    <t>CHEMMAX 1 CONFECCIONADO EN BASE A UN SUSTRATO DE POLIPROPILENO LAMINADO CON UNA RESINA DE POLIETILENO DE ALTA DENSIDAD, ESTE POLÍMERO LAMINADO OFRECE EFECTIVA BARRERA CONTRA UNA GRAN GAMA DE SUSTANCIAS QUÍMICAS. CUMPLE CON LOS REQUERIMIENTOS ANT</t>
  </si>
  <si>
    <t>CE-10-2020</t>
  </si>
  <si>
    <t>SUMINISTRO DE INSUMOS DE DESINFECCIÓN PARA LOS SERVIDORES JUDICIALES DEL DISTRITO JUDICIAL (GEL ANTIBACTERIAL Y ALCOHOL)</t>
  </si>
  <si>
    <t>CAROLINA CEBALLOS ECHEVERRY - DULCE AROMA</t>
  </si>
  <si>
    <t>CE-11-2020</t>
  </si>
  <si>
    <t>SUMINISTRO DE TAPABOCAS LAVABLES PARA LOS SERVIDORES JUDICIALES DEL DISTRITO JUDICIAL.</t>
  </si>
  <si>
    <t>COLOR SIETE S.A.S</t>
  </si>
  <si>
    <t>TAPABOCAS LAVABLE Y REUTILIZABLE EN TELA ANTIFLUIDO CON CUBIERTA REPELENTE.</t>
  </si>
  <si>
    <t>CE-12-2020</t>
  </si>
  <si>
    <t>SERVICIO DE DESINFECCIÓN DE ALGUNAS SEDES JUDICIALES DEL DISTRITO</t>
  </si>
  <si>
    <t>MARÍA RUTH DÍAZ DUQUE  - ALSERVICIO RT</t>
  </si>
  <si>
    <t>DESINFECCIÓN SEDE JUDICIAL DE VILLAMARIA (231 M2)</t>
  </si>
  <si>
    <t>SEDE</t>
  </si>
  <si>
    <t>DESINFECCIÓN SEDE JUDICIAL DE CHINCHINA: 2 PISOS (1200 M2)</t>
  </si>
  <si>
    <t>DESINFECCIÓN SEDE JUDICIAL DE ANSERMA: 3 PISOS (580 M2)</t>
  </si>
  <si>
    <t>DESINFECCIÓN SEDE JUDICIAL DE RIOSUCIO: 2 PISOS (1956 M2)</t>
  </si>
  <si>
    <t>DESINFECCIÓN SEDE JUDICIAL DE SALAMINA: 2 PISOS (1450 M2)</t>
  </si>
  <si>
    <t>DESINFECCIÓN SEDE JUDICIAL DE AGUADAS: 2 PISOS (481 M2)</t>
  </si>
  <si>
    <t>DESINFECCIÓN SEDE JUDICIAL DE MANZANARES: 2 PISOS (403 M2)</t>
  </si>
  <si>
    <t>DESINFECCIÓN SEDE JUDICIAL DE PENSILVANIA: 1 PISO (356 M2)</t>
  </si>
  <si>
    <t>DESINFECCIÓN SEDE JUDICIAL DE LA DORADA: 3 PISOS (3100 M2)</t>
  </si>
  <si>
    <t>DESINFECCIÓN SEDE JUDICIAL DE PUERTO BOYACÁ: 3 PISOS (1641 M2)</t>
  </si>
  <si>
    <t>DESINFECCIÓN SEDE JUDICIAL DE VITERBO (279 M2)</t>
  </si>
  <si>
    <t>DESINFECCIÓN SEDE JUDICIAL PALACIO DE JUSTICIA</t>
  </si>
  <si>
    <t>DESINFECCIÓN EDIFICIO DIRECCION SECCIONAL Y JUZGADOS PENALES</t>
  </si>
  <si>
    <t>DESINFECCIÓN SEDE JUDICIAL VILLAMARIA</t>
  </si>
  <si>
    <t>DESINFECCIÓN SEDE JUDICIAL CHINCHINA</t>
  </si>
  <si>
    <t>DESINFECCIÓN SEDE JUDICIAL LA DORADA</t>
  </si>
  <si>
    <t>GUANTES DE NITRILO 30 CAJAS X 100</t>
  </si>
  <si>
    <t xml:space="preserve">FELIPE MONDRAGON DUQUE </t>
  </si>
  <si>
    <t xml:space="preserve">GUANTES DE NITRILO </t>
  </si>
  <si>
    <t>CE-016-2020</t>
  </si>
  <si>
    <t>LAVAMANOS PORTÁTILES EN ACERO INOXIDABLE: 13 UNIDADES</t>
  </si>
  <si>
    <t>PROYECTOS INSTITUCIONALES DE COLOMBIA S.A.S</t>
  </si>
  <si>
    <t>BOTELLAS DE ALCOHOL X 750 CC</t>
  </si>
  <si>
    <t>BOTELLAS DE ALCOHOL</t>
  </si>
  <si>
    <t>GEL ANTIBACTERIAL POR LITRO: 500 UNIDADES</t>
  </si>
  <si>
    <t>TOALLAS DESECHABLES PARA MANOS ROLLOS DE 100 METROS: 1000 ROLLOS.</t>
  </si>
  <si>
    <t>CE-034-2019</t>
  </si>
  <si>
    <t>PRESTACIÓN DEL SERVICIO DE ASEO Y LIMPIEZA AL DISTRITO JUDICIAL</t>
  </si>
  <si>
    <t>BIOSERVICIOS S.A.S.</t>
  </si>
  <si>
    <t>PRESTACIÓN DEL SERVICIO DE ASEO Y LIMPIEZA AL DISTRITO JUDICIAL TIEMPO COMPLETO POR 5 MESES</t>
  </si>
  <si>
    <t>PRESTACIÓN DEL SERVICIO DE ASEO Y LIMPIEZA AL DISTRITO JUDICIAL MEDIO TIEMPO POR 4.5 MESES</t>
  </si>
  <si>
    <t>PRESTACIÓN DEL SERVICIO DE ASEO Y LIMPIEZA AL DISTRITO JUDICIAL 8 HORAS POR SEMANA POR 4 MESES</t>
  </si>
  <si>
    <t>PAPEL VINIPEL 250 ROLLOS</t>
  </si>
  <si>
    <t>GRUPO EMPRESARIAL DE ASESORIA</t>
  </si>
  <si>
    <t>Orden de Compra 49988</t>
  </si>
  <si>
    <t>JABÓN DISPENSADOR PARA MANOS LÍQUIDO. 200 GALONES X 3.785 CC</t>
  </si>
  <si>
    <t>AESTHETIC MEDICAL SOLUTIONS</t>
  </si>
  <si>
    <t>JABÓN DISPENSADOR PARA MANOS LÍQUIDO.</t>
  </si>
  <si>
    <t>Orden de Compra 49993</t>
  </si>
  <si>
    <t>JABÓN DISPENSADOR PARA MANOS LÍQUIDO. 300 UNIDADES X 500 CC</t>
  </si>
  <si>
    <t>OFIBEST S.A.S.</t>
  </si>
  <si>
    <t>TOALLAS PARA MANOS INTERDOBLADAS- 500 PAQUETES</t>
  </si>
  <si>
    <t>PAPER BOX SP S.A.S.</t>
  </si>
  <si>
    <t>CARETAS PROTECTORAS VISUALES. 600 UNIDADES.</t>
  </si>
  <si>
    <t>ABBLAPLX S.A.S.</t>
  </si>
  <si>
    <t>CE-18-2020</t>
  </si>
  <si>
    <t>PRESTACIÓN DE SERVICIOS DE PERSONAL DE APOYO A LA GESTIÓN CON VIGÍAS DE SALUD</t>
  </si>
  <si>
    <t>CRUZ ROJA COLOMBIANA SECCIONAL CALDA</t>
  </si>
  <si>
    <t>PRESTACIÓN DE SERVICIOS DE PERSONAL DE APOYO A LA GESTIÓN CON VIGÍAS DE SALUD (POR 3 MESES)</t>
  </si>
  <si>
    <t>ARRENDAMIENTO DE 33 COMPUTADORES PORTÁTILES CON CÁMARA INCORPORADA Y PARLANTES PARA FACILITAR LA REALIZACIÓN DE AUDIENCIAS VIRTUALES CON CONEXIÓN REMOTA.</t>
  </si>
  <si>
    <t>NUEVA ERA SOLUCIONES S.A.S.</t>
  </si>
  <si>
    <t>ARRENDAMIENTO DE 33 COMPUTADORES PORTÁTILES CON CÁMARA INCORPORADA Y PARLANTES PARA FACILITAR LA REALIZACIÓN DE AUDIENCIAS VIRTUALES CON CONEXIÓN REMOTA. POR 4 MESES</t>
  </si>
  <si>
    <t>ADQUISICIÓN DE SENSORES DE TEMPERATURA PARA ALGUNAS SEDES JUDICIALES DEL DISTRITO, COMO MEDIDAS DE PREVENCIÓN DEL COVID 19.</t>
  </si>
  <si>
    <t>COMERCIALIZADORA ORIKUA SAS</t>
  </si>
  <si>
    <t>CE-20-2020</t>
  </si>
  <si>
    <t>ADQUISICIÓN DE DISPENSADORES DE GEL EN ACERO INXIDABLE, PORTÁTILES Y ACCIONABLES CON EL PIE.</t>
  </si>
  <si>
    <t>YESID FERNANDO SUAREZ AVILA/ALLINGENIERIA</t>
  </si>
  <si>
    <t>DISPENSADORES DE GEL EN ACERO INOXIDABLE, PORTÁTILES Y ACCIONABLES CON EL PIE</t>
  </si>
  <si>
    <t>CE-22-2020</t>
  </si>
  <si>
    <t>SUMINISTRO DE TAPABOCAS DESECHABLES, COMO PREVENCIÓN DEL CONTAGIO CON EL COVID19</t>
  </si>
  <si>
    <t xml:space="preserve">AR GLOBAL SERVICE </t>
  </si>
  <si>
    <t xml:space="preserve">SUMINISTRO DE DISPENSADORES DE TOALLAS DE PAPEL </t>
  </si>
  <si>
    <t>PAULO CESAR CARVAJAL &amp; PRODUCTOS
INSTITUCIONALES</t>
  </si>
  <si>
    <t xml:space="preserve">DISPENSADORES DE TOALLAS DE PAPEL </t>
  </si>
  <si>
    <t>CANECAS PARA DEPOSITAR RESIDUOS PELIGROSOS, COMO MEDIDAS DE PREVENCIÓN CONTRA EL COVID 19</t>
  </si>
  <si>
    <t>CE-27-2020</t>
  </si>
  <si>
    <t>NEURONA INGENIERIA MÁS DISEÑO S.A.S.</t>
  </si>
  <si>
    <t>BUZONES</t>
  </si>
  <si>
    <t>CE-28-2020</t>
  </si>
  <si>
    <t>INMERTEX S.A.S.</t>
  </si>
  <si>
    <t>OC 54075</t>
  </si>
  <si>
    <t>OC 54272</t>
  </si>
  <si>
    <t>CE-29-2020</t>
  </si>
  <si>
    <t>PROVEER INSTITUCIONAL S.A.S.</t>
  </si>
  <si>
    <t>CE-31-2020</t>
  </si>
  <si>
    <t>CRUZ ROJA COLOMBIANA SECCIONAL CALDAS</t>
  </si>
  <si>
    <t>OC 60222</t>
  </si>
  <si>
    <t>OC 58406</t>
  </si>
  <si>
    <t>OC 58411</t>
  </si>
  <si>
    <t>PANORAMMA DISENO DE SOLUCIONES S.A.S.</t>
  </si>
  <si>
    <t>OC 58413</t>
  </si>
  <si>
    <t>GLOBALK COLOMBIA SAS</t>
  </si>
  <si>
    <t>OC 58415</t>
  </si>
  <si>
    <t>OC 58416</t>
  </si>
  <si>
    <t>CE-47-2020</t>
  </si>
  <si>
    <t>ETHEREUM S.A.S</t>
  </si>
  <si>
    <t>CE-50-2020</t>
  </si>
  <si>
    <t xml:space="preserve">MARÍA RUTH DÍAZ DE DUQUE </t>
  </si>
  <si>
    <t>OC 62376</t>
  </si>
  <si>
    <t>OC 62381</t>
  </si>
  <si>
    <t>OC 62382</t>
  </si>
  <si>
    <t>OC-62398</t>
  </si>
  <si>
    <t>OC-62399</t>
  </si>
  <si>
    <t>MEDELLÍN</t>
  </si>
  <si>
    <t>2020-006</t>
  </si>
  <si>
    <t>SUMINISTRO DE GEL ANTIBACTERIAL Y SOPORTE DE PARED
PARA PREVENIR EL CONTAGIO POR COVID-19 DE LOS
SERVIDORES DE LAS DIFERENTES SEDES Y DESPACHOS
JUDICIALES DE LA DIRECCIÓN EJECUTIVA SECCIONAL DE
ADMINISTRACIÓN JUDICIAL DE MEDELLÍN Y CHOCÓ</t>
  </si>
  <si>
    <t>SERVISEPTICOS S.A.S.</t>
  </si>
  <si>
    <t>GEL ANTIBACTERIAL CON TAPA DIOSPENSADORA X LITRO</t>
  </si>
  <si>
    <t>2020-008</t>
  </si>
  <si>
    <t>SUMINISTRO DE TOALLA DESECHABLE PARA MANOS PARA PREVENIR EL CONTAGIO POR COVID-19 DE LOS SERVIDORES DE LAS DIFERENTES SEDES Y DESPACHOS JUDICIALES DE LA DIRECCIÓN EJECUTIVA SECCIONAL DE ADMINISTRACIÓN JUDICIAL DE MEDELLÍN Y CHOCÓ</t>
  </si>
  <si>
    <t>PAPELERÍA EL PUNTO S.A.S.</t>
  </si>
  <si>
    <t>TOALLA DE MANOS NATURAL 100MTS X20 CMS PACA X 6 ROLLOS</t>
  </si>
  <si>
    <t>2020-005</t>
  </si>
  <si>
    <t>SUMINISTRO DE TERMÓMETROS INFRARROJOS (Y SUS BATERÍAS) PARA MEDIR LA TEMPERATURA A TODAS LAS PERSONAS QUE VAYAN A INGRESAR A LAS INSTALACIONES LOCATIVAS DE LAS DIFERENTES SEDES Y DESPACHOS JUDICIALES A CARGO DE LA DIRECCIÓN EJECUTIVA SECCIONAL DE ADMINISTRACIÓN JUDICIAL ANTIOQUIA – CHOCÓ, PARA PREVENIR EL CONTAGIO POR COVID-19 DE LOS SERVIDORES PÚBLICOS Y USUARIOS</t>
  </si>
  <si>
    <t>COMPEL S.A</t>
  </si>
  <si>
    <t xml:space="preserve">TERMÓMETRO INFRAROJO UT30R
</t>
  </si>
  <si>
    <t xml:space="preserve">
PILA ALKALINA AAA GP</t>
  </si>
  <si>
    <t>2020-011</t>
  </si>
  <si>
    <t>SUMINISTRO DE CARETAS EN POLIPROPILENO O MÁSCARA DE PROTECCIÓN FACIAL, COMO ELEMENTO DE PROTECCIÓN PERSONAL EN EL MARCO DE LA PREVENCIÓN DEL CONTAGIO POR COVID-19, PARA LOS SERVIDORES DE LAS DIFERENTES SEDES Y DESPACHOS JUDICIALES DE LA DIRECCIÓN EJECUTIVA SECCIONAL DE ADMINISTRACIÓN JUDICIAL DE ANTIOQUIA Y CHOCÓ</t>
  </si>
  <si>
    <t>LÍNEAS MÉDICAS ESPECIALIZADAS DE COLOMBIA S.A.S.</t>
  </si>
  <si>
    <t>MÁSCARA (CARETA) DE PROTECCIÓN FACIAL EN POLIETILENO, ANTIEMPAÑANTE, ANTIFLUIDOS; MEDIDAS 25X29 CMS Y GROSOR DE 0.25 MM</t>
  </si>
  <si>
    <t>2020-012</t>
  </si>
  <si>
    <t>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t>
  </si>
  <si>
    <t>COLOR LIQUIDO IMPRESION DIGITAL S.A.S</t>
  </si>
  <si>
    <t xml:space="preserve">ADHESIVO LAVADO DE MANOS.
</t>
  </si>
  <si>
    <t xml:space="preserve">
ADHESIVO RESTRICCION INGRESO.
</t>
  </si>
  <si>
    <t xml:space="preserve">
ADHESIVO USO TAPABOCAS.
</t>
  </si>
  <si>
    <t xml:space="preserve">ADHESIVO DISTANCIA SOCIAL.
</t>
  </si>
  <si>
    <t xml:space="preserve">ADHESIVO HIGIENE RESPIRATORIA.
</t>
  </si>
  <si>
    <t xml:space="preserve">ADHESIVO LIMPIEZA-DESINFECC.
</t>
  </si>
  <si>
    <t xml:space="preserve">ADHESIVO REPORTE CONDIC.SALUD.
</t>
  </si>
  <si>
    <t xml:space="preserve">ADHESIVO USO MEDIOS BICICLETA.
</t>
  </si>
  <si>
    <t xml:space="preserve">ADHESIVO FOMENTO HABITOS SALUD.
</t>
  </si>
  <si>
    <t xml:space="preserve">ADHESIVOS PISO RECTÁNGULOS. 
</t>
  </si>
  <si>
    <t xml:space="preserve">ADHESIVOS PISO ASCENSORES.
</t>
  </si>
  <si>
    <t xml:space="preserve">INSTALACION GIRARDOTA-COPACAB Y OTROS
</t>
  </si>
  <si>
    <t xml:space="preserve">INSTALACIÓN CALDAS-MEDELLÍN Y OTROS
</t>
  </si>
  <si>
    <t>INSTALACIÓN RIONEGRO.</t>
  </si>
  <si>
    <t>2020-001</t>
  </si>
  <si>
    <t>SUMINISTRO DE ELEMENTOS DE PROTECCIÓN PERSONAL PARA PREVENIR EL CONTAGIO POR COVID-19 DE LOS SERVIDORES DE LAS DIFERENTES SEDES Y DESPACHOS JUDICIALES DE LA DIRECCIÓN EJECUTIVA SECCIONAL DE ADMINISTRACIÓN JUDICIAL DE MEDELLÍN Y CHOCÓ</t>
  </si>
  <si>
    <t>PRODEFARMA S.A.S.</t>
  </si>
  <si>
    <t>TAPABOCAS DESECH. TELA QUIRURGICO</t>
  </si>
  <si>
    <t>GUANTE DESECHABLE CAJA X100.</t>
  </si>
  <si>
    <t>2020-003</t>
  </si>
  <si>
    <t xml:space="preserve">TAPABOCAS DESECHABLE.
</t>
  </si>
  <si>
    <t xml:space="preserve">GUANTE DESECHABLE LATEX CAJA X100 </t>
  </si>
  <si>
    <t>TERMÓMETRO INFRAROJO UT30R</t>
  </si>
  <si>
    <t>GEL ANTIBACTER. TAPA DISP. X LITRO.</t>
  </si>
  <si>
    <t>SOPORTE METÁLICO DE PARED.</t>
  </si>
  <si>
    <t>TAPABOCAS EN TELA QUIRÚRGICA</t>
  </si>
  <si>
    <t>2020-015</t>
  </si>
  <si>
    <t>SUMINISTRO DE PAPELERAS DE PEDAL Y BOLSAS PLÁSTICAS, PARA LA RECOLECCIÓN DE LOS ELEMENTOS DE PROTECCIÓN PERSONAL UTILIZADOS POR LOS SERVIDORES DE LAS DIFERENTES SEDES Y DESPACHOS JUDICIALES DE MEDELLÍN Y CHOCÓ EN EL MARCO DE LA PREVENCIÓN DEL CONTAGIO POR COVID-19.</t>
  </si>
  <si>
    <t>VENTAS Y MÁS S.A.S</t>
  </si>
  <si>
    <t>PAPELERA DE PEDAL</t>
  </si>
  <si>
    <t>BOLSAS X 100 50*60</t>
  </si>
  <si>
    <t>MONTERÍA</t>
  </si>
  <si>
    <t>COM003</t>
  </si>
  <si>
    <t>ADQUISICIÓN DE ELEMENTOS PARA LA PREVENCIÓN DEL CONTAGIO DEL COVID 19”</t>
  </si>
  <si>
    <t>2020/03/20</t>
  </si>
  <si>
    <t>SUMINISTROS INTEGRALES G&amp;E SAS</t>
  </si>
  <si>
    <t>GUANTE NITRILO X 100 TALLA L MARCA PROTEX</t>
  </si>
  <si>
    <t>JABON LIQUIDO ANTIBACTERIALAVENA BERHLAN</t>
  </si>
  <si>
    <t>ATOMIZADOR ECONOMICO DE 500 CC</t>
  </si>
  <si>
    <t>ATOMIZADOR / DOSIFICADOR</t>
  </si>
  <si>
    <t>TAPABOCAS DESECHABLE MARCA RYMCO</t>
  </si>
  <si>
    <t>FRASCO CON TAPA DOSIFICADORA</t>
  </si>
  <si>
    <t>PISTOLA ATOMIZADORA</t>
  </si>
  <si>
    <t>GUANTE NITRILO X 100 TALLA M MARCA PROTEX</t>
  </si>
  <si>
    <t>GLOSANIT 30 CUÑETE X 20 LTS</t>
  </si>
  <si>
    <t>DESINFECTANTE / DETERGENTE</t>
  </si>
  <si>
    <t>JUMBO BLANCO HOJA SENCILLA X 220 MT FSC</t>
  </si>
  <si>
    <t>TOALLAS MANO DOBLADA EN Z NATURAL TRIPLE HOJA 150 TOALLAS</t>
  </si>
  <si>
    <t>TOALLA DE MANO PREC X 100 MTS CERTIFICADA FSC M FAMILIA</t>
  </si>
  <si>
    <t>FAMITEX PAÑOS SEMIDESECHABLES BLANCO CX4 PAQ PAQ  X 50 PAÑOS</t>
  </si>
  <si>
    <t>PAÑOS DE LIMPIEZA</t>
  </si>
  <si>
    <t xml:space="preserve">JABON LIQUIDO X 1000 ML </t>
  </si>
  <si>
    <t>OVEROL NO ESTERIL</t>
  </si>
  <si>
    <t>COM004</t>
  </si>
  <si>
    <t>ADQUISICIÓN DE ELEMENTOS PARA LA PREVENCIÓN DEL CONTAGIO DEL COVID 19</t>
  </si>
  <si>
    <t>2020/03/25</t>
  </si>
  <si>
    <t>ECCOCLEAN SAS</t>
  </si>
  <si>
    <t>LIQUIDO ANTIBACTERIAL GLICERADO</t>
  </si>
  <si>
    <t>COM005</t>
  </si>
  <si>
    <t>IVAN DARIO CARMONA LOPEZ</t>
  </si>
  <si>
    <t>CAJAS DE GUANTES NITRILO T.L X 1000 UND</t>
  </si>
  <si>
    <t>BOLSAS SOLAPA 13X19 POR 100 UND</t>
  </si>
  <si>
    <t>BOLSAS CIERRE 18X22 POR 100 UND</t>
  </si>
  <si>
    <t>COM006</t>
  </si>
  <si>
    <t>EMPRESA INDUSTRIA DE CONFECCIONES MONKYDU S.A.S.</t>
  </si>
  <si>
    <t>MASCARILLA EN TELA POLITEX</t>
  </si>
  <si>
    <t>COM007</t>
  </si>
  <si>
    <t>2020/04/17</t>
  </si>
  <si>
    <t>LIQUIDO ANTIBACTERIAL ALCOHOL GLICERADO X 1000 ML</t>
  </si>
  <si>
    <t>GEL ANTIBACTERIAL A BASE DE ALCOHOL AL 96%</t>
  </si>
  <si>
    <t>COM008</t>
  </si>
  <si>
    <t>INDUSTRIAS DE CONFECCIONES MONKYDU SAS</t>
  </si>
  <si>
    <t>TRAJES DE PROTECCION FABRICADO EN POLIETILENO (CHAQUETA, PANTALON CON RESORTE EN LA CINTURA, BOTAS ANATOMICAS CON CAUCHO DE AJUSTE)</t>
  </si>
  <si>
    <t>SER010</t>
  </si>
  <si>
    <t>DESINFECCIÓN AMBIENTAL DE SEDES JUDICIALES DEL DISTRITO JUDICIAL DE MONTERÍA ENCAMINADA A LA DESTRUCCIÓN DE LOS MICROORGANISMOS PATÓGENOS COMO BACTERIAS, VIRUS Y HONGOS MEDIANTE LA UTILIZACIÓN DE PRODUCTOS QUÍMICOS APLICADOS POR MÉTODO DE ASPERSION Y NEBULIZACIÓN</t>
  </si>
  <si>
    <t>2020/04/01</t>
  </si>
  <si>
    <t>EMPRESA GRUPO FRANKA FSI SAS</t>
  </si>
  <si>
    <t>DESINFECCION AMBIENTALPOR ASPERSION Y NEBULIZACION DE JUZGADOS Y OFICINAS</t>
  </si>
  <si>
    <t>METROS CUBICOS</t>
  </si>
  <si>
    <t>COM013</t>
  </si>
  <si>
    <t>SUMINISTRO DE DISPENSADORES PORTATILES DE GEL CON PEDAL E INSUMOS PARA FORTALECER LA MEDIDAS DE PREVENCIÓN DEL CONTAGIO Y DE LA PROPAGACION DEL COVID -19</t>
  </si>
  <si>
    <t>PORRAS CONSTRUCTORES &amp; ASOCIADOS SAS</t>
  </si>
  <si>
    <t>DISPENSADORES DE PEDAL PARA GEL ANTIBACTERIAL EN ACERO INOXIDABLE</t>
  </si>
  <si>
    <t>GEL ANTIBACTERIAL X 1L</t>
  </si>
  <si>
    <t>COM014</t>
  </si>
  <si>
    <t>COMPRA DE ELEMENTOS DE PROTECCIÓN PERSONAL Y OTROS IMPLEMENTOS, TALES COMO BARRERA ANTIFLUIDO EN ACRILICO, GUANTES DE NITRILO, GAFAS DE SEGURIDAD, LAVAMANO INDUSTRIAL PORTATIL PEDAL AGUA Y JABON Y TERMOMETROS INFRARROJOS PARA FORTALECER LA MEDIDAS DE PREVENCIÓN DEL CONTAGIO Y DE LA PROPAGACION
DEL COVID -19 DEL CONTAGIO Y DE LA PROPAGACION DEL COVID 19</t>
  </si>
  <si>
    <t>TPI INGENIERIA Y SUMINISTROS SAS</t>
  </si>
  <si>
    <t>BARRERA ANTIFLUIDO EN ACRILICO 120X100 CM CHASIS O SOPORTE METALICO SP CRISTAL 4MM</t>
  </si>
  <si>
    <t>LAVAMANOS INDUSTRIAL PORTATIL PEDAL AGUA Y JABON</t>
  </si>
  <si>
    <t>GAFAS DE SEGURIDAD X UNIDAD</t>
  </si>
  <si>
    <t>TERMOMETROS INFRAROJOS</t>
  </si>
  <si>
    <t>COM015</t>
  </si>
  <si>
    <t>COMPRA DE PRODUCTOS DE ASEO Y ELEMENTOS DE PROTECCIÓN PERSONAL TALES COMO TAPABOCAS,
ALCOHOL GLICERADO, GEL ANTIBACTERIAL PARA FORTALECER LA MEDIDAS DE PREVENCIÓN DEL CONTAGIO Y DE LA PROPAGACION DEL COVID -19</t>
  </si>
  <si>
    <t>FUNDACIÓN SANTIAGO EL MAYOR</t>
  </si>
  <si>
    <t>TAPABOCAS ANTIFLUIDO ELASTICO FABRICACION NACIONAL</t>
  </si>
  <si>
    <t>ALCOHOL GLICERINADO CON REGISTRO INVIMA X LT</t>
  </si>
  <si>
    <t>GEL ANTIBACTERIAL CON REGISTRO INVIMA X LT}</t>
  </si>
  <si>
    <t>SER014</t>
  </si>
  <si>
    <t xml:space="preserve">FASE FINAL DEL PROYECTO ADECUACIONES EN EDIFICIO PALACIO DE JUSTICIA EN PRO DE LA MITIGACION DE LA PROPAGACION DEL COVID 19 </t>
  </si>
  <si>
    <t>ARMANDO RAFAEL BULA OTERO</t>
  </si>
  <si>
    <t>SER-020</t>
  </si>
  <si>
    <t>PRESTACION DEL SERVICIO DE PERSONAL DE APOYO A LA GESTION (VIGIAS DE LA SALUD) PARA VELAR POR EL CUMPLIMIENTO DE LOS PROTOCOLOS DE BIOSEGURIDAD ESTABLECIDOS POR LA RAMA JUDICIAL Y FORTALECER LAS MEDIDAS DE PREVENCION DEL CONTAGIO Y PROPAGACION DEL COVID 19</t>
  </si>
  <si>
    <t>EMPRESA EFECTIVA EST SS</t>
  </si>
  <si>
    <t>PERSONAL DE APOYO PARA LA GESTION (POR 6 MESES)</t>
  </si>
  <si>
    <t>COMPRA DE GUANTES DE NITRILO Y BOLSAS CON CIERRE HERMÉTICO PARA FORTALECER LA MEDIDAS DE PREVENCIÓN
DEL CONTAGIO Y DE LA PROPAGACION DEL COVID -19</t>
  </si>
  <si>
    <t>BOLSAS Y DESECHABLES CARMONA
NIT.</t>
  </si>
  <si>
    <t>GUANTES DE NITRILO TALLA M-L CAJA X 100 UND</t>
  </si>
  <si>
    <t>BOLSA CIERRE HERMETICO 30X40 X 100 UND</t>
  </si>
  <si>
    <t>BOLSA CIERRE HERMETICO 30X48 X 100 UND</t>
  </si>
  <si>
    <t>012-2020</t>
  </si>
  <si>
    <t>ADQUISICIÓN, DISTRIBUCION E INSTALACIÓN DE DIADEMAS Y CAMARAS WEB PARA LOS DESPACHOS JUDICIALES Y TRIBUNALES DEL DISTRITO JUDICIAL DE MONTERÍA</t>
  </si>
  <si>
    <t>COMPU DF SAS</t>
  </si>
  <si>
    <t>DIADEMAS USB</t>
  </si>
  <si>
    <t>WEB CAM USB</t>
  </si>
  <si>
    <t>MONTERIA</t>
  </si>
  <si>
    <t>ORDEN COMPRAS 54739</t>
  </si>
  <si>
    <t>CONTRATAR LA COMPRA DE ELEMENTOS DE PROTECCIÓN PERSONAL TALES COMO GAFAS PROTECTORAS, PARA FORTALECER LA MEDIDAS DE PREVENCIÓN DEL CONTAGIO Y DE LA PROPAGACION DEL COVID -19</t>
  </si>
  <si>
    <t>H3S SAS</t>
  </si>
  <si>
    <t>900850351-1</t>
  </si>
  <si>
    <t>GAFAS PROTECTORAS</t>
  </si>
  <si>
    <t>ORDEN COMPRAS 54945</t>
  </si>
  <si>
    <t>CONTRATAR LA COMPRA DE ELEMENTOS DE PROTECCIÓN PERSONAL TALES COMO GUANTES DE NITRILO, CAJAS X 100 UNIDADES CADA UNA, PARA FORTALECER LA MEDIDAS DE PREVENCIÓN DEL CONTAGIO Y DE LA PROPAGACION DEL COVID -19</t>
  </si>
  <si>
    <t>EUROCOSSET</t>
  </si>
  <si>
    <t>811032857-4</t>
  </si>
  <si>
    <t>ORDEN COMPRAS 54946</t>
  </si>
  <si>
    <t>CONTRATAR LA COMPRA DE ELEMENTOS DE PROTECCIÓN PERSONAL TALES COMO TAPABOCAS DESECHABLES, CAJAS X 100 UNIDADES CADA UNA PARA, PARA FORTALECER LA MEDIDAS DE PREVENCIÓN DEL CONTAGIO Y DE LA PROPAGACION DEL COVID -19</t>
  </si>
  <si>
    <t>IMPOCOSER SAS</t>
  </si>
  <si>
    <t>ORDEN COMPRAS 55641</t>
  </si>
  <si>
    <t>CONTRATAR LA COMPRA DE ELEMENTOS DE ASEO  TALES COMO ALCOHOL ISOPROPILICO 70% EN GEL PARA ANTISEPSIAS DE MANOS FCX LTS, PARA FORTALECER LA MEDIDAS DE PREVENCIÓN DEL CONTAGIO Y DE LA PROPAGACION DEL COVID -19</t>
  </si>
  <si>
    <t>TENSOACTIVOS SG SAS</t>
  </si>
  <si>
    <t>805023381-7</t>
  </si>
  <si>
    <t>ALCOHOL ISOPROPILICO 70% EN GEL</t>
  </si>
  <si>
    <t>ORDEN COMPRAS 55642</t>
  </si>
  <si>
    <t>CONTRATAR LA COMPRA DE ELEMENTOS DE ASEO  TALES COMO TOALLAS PARA MANO, PARA FORTALECER LA MEDIDAS DE PREVENCIÓN DEL CONTAGIO Y DE LA PROPAGACION DEL COVID -19</t>
  </si>
  <si>
    <t>SUMIMAS SAS</t>
  </si>
  <si>
    <t>ORDEN COMPRAS 55643</t>
  </si>
  <si>
    <t>CONTRATAR LA COMPRA DE ELEMENTOS DE ASEO  TALES COMO JABON LIQUIDO X 500 ML, PARA FORTALECER LA MEDIDAS DE PREVENCIÓN DEL CONTAGIO Y DE LA PROPAGACION DEL COVID -19</t>
  </si>
  <si>
    <t>QUIMANT SAS</t>
  </si>
  <si>
    <t>830108770-1</t>
  </si>
  <si>
    <t>JABON LIQUIDO</t>
  </si>
  <si>
    <t>ORDEN COMPRAS 55653</t>
  </si>
  <si>
    <t>CONTRATAR LA COMPRA DE ELEMENTOS DE ASEO  TALES COMO DISPENSADOR TOALLAS PARA MANOS, PARA FORTALECER LA MEDIDAS DE PREVENCIÓN DEL CONTAGIO Y DE LA PROPAGACION DEL COVID -19</t>
  </si>
  <si>
    <t>JM GRUPO EMPRESARIAL SAS</t>
  </si>
  <si>
    <t>900353659-2</t>
  </si>
  <si>
    <t>DISPENSADOR TOALLAS DE MANOS</t>
  </si>
  <si>
    <t>COM022 DE 2020</t>
  </si>
  <si>
    <t>CONTRATAR LA COMPRA DE ELEMENTOS DE ASEO TALES COMO PAPELERAS DE RESIDUOS BIO-PELIGROSOS, CON PEDAL, DE 25 LTS, COLOR ROJAS,  PISTOLAS O FRASCOS ATOMIZADORES CAPACIDAD 1000 ML Y AMONIO CUATERNARIO 5TA GEN PIMPINA POR 20 LITROS, PARA FORTALECER LA MEDIDAS DE PREVENCIÓN DEL CONTAGIO Y DE LA PROPAGACION DEL COVID -19</t>
  </si>
  <si>
    <t>LIBRERÍA MARY T SAS</t>
  </si>
  <si>
    <t>900814166-2</t>
  </si>
  <si>
    <t>PAPELERAS DE RIESGOS BIOLÓGICOS, CON PEDAL, DE 25 LTS, COLOR ROJAS</t>
  </si>
  <si>
    <t>GLOSANIT AMONIO CUATERNARIO 5TA GEN 20 LTS</t>
  </si>
  <si>
    <t>CONTRATAR  LA COMPRA DE ELEMENTOS DE ASEO TALES COMO PAPELERAS DE RESIDUOS BIO-PELIGROSOS, CON PEDAL, DE 25 LTS, COLOR ROJAS,  PISTOLAS O FRASCOS ATOMIZADORES CAPACIDAD 1000 ML Y AMONIO CUATERNARIO 5TA GEN PIMPINA POR 20 LITROS, PARA FORTALECER LA MEDIDAS DE PREVENCIÓN DEL CONTAGIO Y DE LA PROPAGACION DEL COVID -19</t>
  </si>
  <si>
    <t>PISTOLAS O FRASCOS ATOMIZADORES CAPACIDAD 1000 ML</t>
  </si>
  <si>
    <t>ORDEN DE COMPRAS 60635</t>
  </si>
  <si>
    <t>CONTRATAR  LA COMPRA DE ELEMENTOS DE ASEO TALES COMO JABON LIQUIDO X 500 ML, PARA FORTALECER LA MEDIDAS DE PREVENCIÓN DEL CONTAGIO Y DE LA PROPAGACION DEL COVID -19</t>
  </si>
  <si>
    <t>AKRAW QUIMICA SAS</t>
  </si>
  <si>
    <t>900795834-1</t>
  </si>
  <si>
    <t>ORDEN DE COMPRAS 60643</t>
  </si>
  <si>
    <t>CONTRATAR LA COMPRA DE ELEMENTOS DE ASEO  TALES COMO GEL ANTIBACTERIAL FRASCOS X LITROS, PARA FORTALECER LA MEDIDAS DE PREVENCIÓN DEL CONTAGIO Y DE LA PROPAGACION DEL COVID -19</t>
  </si>
  <si>
    <t>ORDEN DE COMPRAS 60644</t>
  </si>
  <si>
    <t>ORDEN DE COMPRAS 60645</t>
  </si>
  <si>
    <t>CONTRATAR LA COMPRA DE ELEMENTOS DE ASEO  TALES COMO BOLSAS BIO-PELIGROSAS CAJAS X 50 UNIDADES, PARA FORTALECER LA MEDIDAS DE PREVENCIÓN DEL CONTAGIO Y DE LA PROPAGACION DEL COVID -19</t>
  </si>
  <si>
    <t>901211678-7</t>
  </si>
  <si>
    <t>BOLSAS BIO-PELIGROSAS PARA RESIDUOS</t>
  </si>
  <si>
    <t>ORDEN DE COMPRAS 60768</t>
  </si>
  <si>
    <t>BACET GROUP SAS</t>
  </si>
  <si>
    <t xml:space="preserve"> 900869049-5</t>
  </si>
  <si>
    <t>ORDEN DE COMPRAS 61153</t>
  </si>
  <si>
    <t>SERSUGEN SAS</t>
  </si>
  <si>
    <t>900201322-4</t>
  </si>
  <si>
    <t>COM027 DE 2020</t>
  </si>
  <si>
    <t>INGECAD PARTS SAS</t>
  </si>
  <si>
    <t>900594734-0</t>
  </si>
  <si>
    <t>BARRERAS EN ACRILICO ANTIFLUIDO, CON SOPORTE EN ACRILICO DE ALTA DENSIDAD</t>
  </si>
  <si>
    <t>LAVAMANOS PORTATILES DE PEDAL EN ACERO INOXIDABLE, MESA EN ACERO INOXIDABLE, SISTEMA DE RODAMIENTO, INCLUYE GRIFERÍA, CAPACIDAD PARA 25 LITROS DE AGUA, SOPORTE PARA DISPENSADOR DE JABON, PAPELERA Y SOPORTE PARA TOALLAS DESECHABLES</t>
  </si>
  <si>
    <t>LAVAMANOS PORTATILES</t>
  </si>
  <si>
    <t>NEIVA</t>
  </si>
  <si>
    <t>12COM001-2020</t>
  </si>
  <si>
    <t>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t>
  </si>
  <si>
    <t>INCINERADOS DEL HUILA - INCIHUILA S.A E.S.P</t>
  </si>
  <si>
    <t>TRAJE DE PROTECCION CORPORAL (TAIBER BLANCO)</t>
  </si>
  <si>
    <t>12COM002-2020</t>
  </si>
  <si>
    <t>ANA JOSEFA PANQUEBA NUÑEZ</t>
  </si>
  <si>
    <t>12COM003-2020</t>
  </si>
  <si>
    <t>DMC ASESORIAS Y SUMINISTROS SAS</t>
  </si>
  <si>
    <t>TAPABOCAS EN TELA ANTIFLUIDOS LAFAYETTE ALTA CALIDAD CON CAUCHO 7MM, COLOR BLANCO, EMPAQUE INDIVIDUAL BOLSA TRANSPARENTE EN PAQUETES DE 50 UNIDADES.</t>
  </si>
  <si>
    <t>12COM004-2020</t>
  </si>
  <si>
    <t>CONEXIÓN JURIDICA-MONTES Y ASOCIADOS SAS</t>
  </si>
  <si>
    <t xml:space="preserve">JABON LIQUIDO PARA MANOS </t>
  </si>
  <si>
    <t>12COM005-2020</t>
  </si>
  <si>
    <t>C I WARRIORS COMPANY SAS</t>
  </si>
  <si>
    <t>12COM006-2020</t>
  </si>
  <si>
    <t>ADQUISICIÓN DE ELEMENTOS DE PROTECCIÓN PERSONAL, ELEMENTOS DE ASEO Y EQUIPOS BIOMÉDICOS ANTE LA EMERGENCIA SANITARIA (CORONAVIRUS – COVID-19), PARA LOS SERVIDORES – FUNCIONARIOS DE LOS DISTRITOS JUDICIALES DE NEIVA Y FLORENCIA, POR URGENCIA MANIFIESTA.</t>
  </si>
  <si>
    <t>TERMOMETRO INFRAROJO DIGITAL DE DOBLE SENSOR DE ALTA SENSIBILIDAD</t>
  </si>
  <si>
    <t>12COM007-2020</t>
  </si>
  <si>
    <t>INTEGRAL SERVICES &amp; SOLUTIONS S. A. S. INSSOL S. A. S</t>
  </si>
  <si>
    <t>12COM008-2020</t>
  </si>
  <si>
    <t>SERVINDUSTRIALES DEL HUILA S.A.S.</t>
  </si>
  <si>
    <t>12COM009-2020</t>
  </si>
  <si>
    <t>ADQUISICIÓN DE ELEMENTOS DE PROTECCIÓN PERSONAL, ELEMENTOS DE ASEO, Y EQUIPOS BIOMÉDICOS ANTE LA EMERGENCIA SANITARIA (CORONAVIRUS- COVID-19), PARA LOS SERVIDORES – FUNCIONARIOS DE LOS DISTRITOS JUDICIALES DE NEIVA Y FLORENCIA, POR URGENCIA MANIFIESTA</t>
  </si>
  <si>
    <t>INFANTILES YASTING S.A.S</t>
  </si>
  <si>
    <t>12COM010-2020</t>
  </si>
  <si>
    <t>12COM011-2020</t>
  </si>
  <si>
    <t>12COM013-2020</t>
  </si>
  <si>
    <t>INCINERADOS DEL HUILA SAS E.S.P - INCIHUILA S.A.S E.S.P</t>
  </si>
  <si>
    <t xml:space="preserve">ALCOHOL FRASCO ANTISEPTICO DE USO EXTERNO AL 70% </t>
  </si>
  <si>
    <t>12COM014-2020</t>
  </si>
  <si>
    <t>IMPRIDEAS S.A.S</t>
  </si>
  <si>
    <t>12COM015-2020</t>
  </si>
  <si>
    <t>FUNDACION TEJEDORES POR LA PAZ</t>
  </si>
  <si>
    <t>CARETA DE BIOSEGURIDAD ELABORADA EN POLIETILENO DE ALTO IMPACTO Y VISOR TRANSPARENTE PET-MOVIL</t>
  </si>
  <si>
    <t>12COM016-2020</t>
  </si>
  <si>
    <t>12COM017-2020</t>
  </si>
  <si>
    <t>CONTRATAR EN NOMBRE DE LA NACIÓN - CONSEJO SUPERIOR DE LA JUDICATURA – DIRECCIÓN EJECUTIVA DE ADMINISTRACIÓN JUDICIAL SECCIONAL NEIVA, POR EL SISTEMA DE PRECIOS UNITARIOS LA ADQUISICIÓN DE EQUIPOS BIOMÉDICOS ANTE LA EMERGENCIA SANITARIA (CORONAVIRUS- COVID-19), PARA LOS SERVIDORES – FUNCIONARIOS DE LOS DISTRITOS JUDICIALES DE NEIVA Y FLORENCIA, POR URGENCIA MANIFIESTA.</t>
  </si>
  <si>
    <t>EL PUNTO ELECTRICO LTDA</t>
  </si>
  <si>
    <t>12SER011-2020</t>
  </si>
  <si>
    <t>CONTRATAR LA PRESTACIÓN DE SERVICIOS DE PERSONAL DE APOYO A LA GESTIÓN (VIGÍAS DE SALUD) PARA VELAR POR EL CUMPLIMIENTO DE LOS PROTOCOLOS DE BIOSEGURIDAD ESTABLECIDOS POR LA RAMA JUDICIAL Y FORTALECER LAS MEDIDAS DE PREVENCIÓN DEL CONTAGIO Y DE LA PROPAGACIÓN DEL COVID -19.</t>
  </si>
  <si>
    <t>SOLUCIONES TEMPORALES S.A.S</t>
  </si>
  <si>
    <t>AUXILIARES DE ENFERMERIA EL VALOR TOTAL CORRESPONDE A LOS MESES DE JULIO, AGOSTO, SEPTIEMBRE Y OCTUBRE. EL VALOR MENSUAL CORRESPONDE A $18.374.736 EQUIVALENTE A  12 PERSONAS X MES UBICADAS EN LAS SEDES: NEIVA (5), GARZON (1), PITALITO(1), LA PLATA(1), FLORENCIA (2), PUERTO RICO (1), BELEN DE LOS ANDAQUIES (1). (POR 4 MESES)</t>
  </si>
  <si>
    <t>AUXILIARES DE ENFERMERIA EL VALOR TOTAL CORRESPONDE AL MES DE NOVIEMBRE SEDES: NEIVA (5), PITALITO (1), FLORENCIA (2). VALOR MENSUAL DE $ 12,249,824</t>
  </si>
  <si>
    <t>NIVEL CENTRAL</t>
  </si>
  <si>
    <t>O.C. 47545</t>
  </si>
  <si>
    <t>ADQUIRIR ELEMENTOS DE PROTECCION PERSONAL PARA PREVENIR EL CONTAGIO DEL COVID 19 CON DESTINO A LA RAMA JUDICIAL (TAPABOCAS DESECHABLES)</t>
  </si>
  <si>
    <t>CACHUCHAS Y CAMISETAS GOO WILL SAS</t>
  </si>
  <si>
    <t>O.C.47544</t>
  </si>
  <si>
    <t>ADQUIRIR ELEMENTOS DE PROTECCION PERSONAL PARA PREVENIR EL CONTAGIO DEL COVID 19 CON DESTINO A LA RAMA JUDICIAL (ALCOHOL ANTISEPTICO GALON)</t>
  </si>
  <si>
    <t xml:space="preserve">ALCOHOL ANTISÉPTICO GALÓN AL 70% </t>
  </si>
  <si>
    <t>O.C.47546</t>
  </si>
  <si>
    <t>ADQUIRIR ELEMENTOS DE PROTECCION PERSONAL PARA PREVENIR EL CONTAGIO DEL COVID 19 CON DESTINO A LA RAMA JUDICIAL (GEL ANTIBACTERIAL GALON)</t>
  </si>
  <si>
    <t xml:space="preserve">PMI PROYECTOS MONTAJES E INGENIERIA </t>
  </si>
  <si>
    <t>GELANTIBACTERIAL – GALON CONCENTRACION MINIMA DEL 0,2%</t>
  </si>
  <si>
    <t>O.C.47547</t>
  </si>
  <si>
    <t>ADQUIRIR ELEMENTOS DE PROTECCION PERSONAL PARA PREVENIR EL CONTAGIO DEL COVID 19 CON DESTINO A LA RAMA JUDICIAL (JABON DISPENSADOR PARA MANOS)</t>
  </si>
  <si>
    <t xml:space="preserve">JABÓN DISPENSADOR PARA MANOS 2 - LÍQUIDO, </t>
  </si>
  <si>
    <t>O.C.47552</t>
  </si>
  <si>
    <t>ADQUIRIR ELEMENTOS DE PROTECCION PERSONAL PARA PREVENIR EL CONTAGIO DEL COVID 19 CON DESTINO A LA RAMA JUDICIAL (TOALLAS PARA  MANOS)</t>
  </si>
  <si>
    <t>TOALLAS PARA MANOS 4 - UNIDAD INTERDOBLADAS - DOBLE HOJA CON UN TAMAÑO MÍNIMO 15 CM DE ANCHO</t>
  </si>
  <si>
    <t>O.C.47742</t>
  </si>
  <si>
    <t>ADQUIRIR ELEMENTOS DE PROTECCION PERSONAL PARA PREVENIR EL CONTAGIO DEL COVID 19 CON DESTINO A LA RAMA JUDICIAL (MONOGAFA GOGGLESCONTRA IMPACTOS CON LENTES CLARAS)</t>
  </si>
  <si>
    <t>PANAMERICANA LIBRERÍA Y PAELERIA SA</t>
  </si>
  <si>
    <t>MONOGAFA GOGGLES CONTRA IMPACTOS
CON LENTES CLARAS COD. 900505987</t>
  </si>
  <si>
    <t>O.C. 48332</t>
  </si>
  <si>
    <t>ADQUIRIR ELEMENTOS DE PROTECCION PERSONAL PARA PREVENIR EL CONTAGIO DEL COVID 19 CON DESTINO A LA RAMA JUDICIAL (GEL ANTIBACTERIAL- CARETA DARNEL SENCILLA  - DISPENSADOR GEL PLANO - TERMOMETRO INFRAROJO)</t>
  </si>
  <si>
    <t>VADEL S.A.S.</t>
  </si>
  <si>
    <t>O.C. 49790</t>
  </si>
  <si>
    <t>CENCOSUD COLOMBIA SA</t>
  </si>
  <si>
    <t xml:space="preserve">GEL ANTIBACTERIAL ORION </t>
  </si>
  <si>
    <t>CARETA DARNEL SENCILLA X 100 UN</t>
  </si>
  <si>
    <t>DISPENSADOR DE GEL PLANO TUBERIA 1 PULGADA NEGRO</t>
  </si>
  <si>
    <t>TERMOMETRO INFRAROJO SIN CONTACTO MOD FZY-208A</t>
  </si>
  <si>
    <t>O.C. 50632</t>
  </si>
  <si>
    <t>ADQUIRIR ELEMENTOS DE PROTECCION PERSONAL PARA PREVENIR EL CONTAGIO DEL COVID 19 CON DESTINO A LA RAMA JUDICIAL (AMONIO CUATERNARIO, KIT DE TAPETES DESINFECTANTES, ALCOHOL USO GENERAL  CON ATOMIZADOR VIVAMACH )</t>
  </si>
  <si>
    <t xml:space="preserve">OFFICE DEPOT </t>
  </si>
  <si>
    <t>AMONIO CUATERNARIO</t>
  </si>
  <si>
    <t>ALCOHOL USO GENERAL 70% *1000 ML CON ATOMIZADOR VIMACH</t>
  </si>
  <si>
    <t>O.C. 50851</t>
  </si>
  <si>
    <t>ADQUIRIR ELEMENTOS DE PROTECCION PERSONAL PARA PREVENIR EL CONTAGIO DEL COVID 19 CON DESTINO A LA RAMA JUDICIAL (TAPABOCAS DOBLE TELA LAVABLE )</t>
  </si>
  <si>
    <t>M.A.S. EMPRESARIAL SM SAS</t>
  </si>
  <si>
    <t>TAPABOCAS DOBLE TELA LAVABLE</t>
  </si>
  <si>
    <t>O.C. 51219</t>
  </si>
  <si>
    <t>ADQUIRIR ELEMENTOS DE PROTECCION PERSONAL PARA PREVENIR EL CONTAGIO DEL COVID 19 CON DESTINO A LA RAMA JUDICIAL (GUANTES DE NITRILO)</t>
  </si>
  <si>
    <t>PASTO</t>
  </si>
  <si>
    <t>CONTRATAR EN NOMBRE DE LA NACIÓN, CONSEJO SUPERIOR DE JUDICATURA, DIRECCIÓN EJECUTIVA SECCIONAL DE ADMINISTRACIÓN JUDICIAL DE PASTO LA ADQUISICIÓN MEDIANTE LA MODALIDAD DE COMPRAVENTA LA DOTACIÓN DE BIOSEGURIDAD CONSISTENTE EN TRAJES DE PROTECCIÓN CORPORAL, MONOGAFAS Y TAPABOCAS PARA SERVIDORES JUDICIALES ESPECIALMENTE DE LOS JUZGADOS DE CONTROL DE GARANTÍAS, EN LAS CONDICIONES TÉCNICAS, DE CALIDAD Y CANTIDADES REQUERIDAS POR LA ENTIDAD</t>
  </si>
  <si>
    <t>SOLMAQ SAS</t>
  </si>
  <si>
    <t>TRAJE DE PROTECCIÓN OVEROL</t>
  </si>
  <si>
    <t>TAPABOCAS N95</t>
  </si>
  <si>
    <t>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t>
  </si>
  <si>
    <t>ADRIANA BARRERA</t>
  </si>
  <si>
    <t>GUANTE LATEX</t>
  </si>
  <si>
    <t xml:space="preserve">JABON LIQUIDO ANTIBACTERIAL PARA MANOS </t>
  </si>
  <si>
    <t xml:space="preserve">GEL ANTIBACTERIAL MANOS </t>
  </si>
  <si>
    <t>DISPENSADOR JABÓN ACERO INOXIDABLE X 500 CC</t>
  </si>
  <si>
    <t>DISPENSADOR GEL  EN POLIPROPILENO 350 CC</t>
  </si>
  <si>
    <t>DISPENSADOR TOALLA EN ROLLO DE 100 MTS</t>
  </si>
  <si>
    <t>TOALLA ROLLO COLOR NATURAL 2H*100 METROS</t>
  </si>
  <si>
    <t>CONTRATAR EN NOMBRE DE LA NACIÓN, CONSEJO SUPERIOR DE JUDICATURA, DIRECCIÓN EJECUTIVA SECCIONAL DE ADMINISTRACIÓN JUDICIAL DE PASTO LA ADQUISICIÓN MEDIANTE LA MODALIDAD DE COMPRAVENTA DE TAPABOCAS PARA LOS SERVIDORES JUDICIALES DE LOS DISTRITOS JUDICIALES DE PASTO Y MOCOA</t>
  </si>
  <si>
    <t>INCINERADOS DEL HUILA SAS E.S.P.</t>
  </si>
  <si>
    <t>TAPABOCAS  DESECHABLE DE 3 CAPAS</t>
  </si>
  <si>
    <t>CONTRATAR EN NOMBRE DE LA NACIÓN, CONSEJO SUPERIOR DE JUDICATURA, DIRECCIÓN EJECUTIVA SECCIONAL ADMINISTRACIÓN JUDICIAL PASTO LA ADQUISICIÓN MEDIANTE LA MODALIDAD DE COMPRAVENTA GEL ANTIBACTERIAL EN PRESENTACIÓN DE 120 ML</t>
  </si>
  <si>
    <t xml:space="preserve">BIO LABORATORIOS ESTELAR S.A.S </t>
  </si>
  <si>
    <t>O.C. 47665</t>
  </si>
  <si>
    <t>CONTRATAR EN NOMBRE DE LA NACIÓN, CONSEJO SUPERIOR DE JUDICATURA, DIRECCIÓN EJECUTIVA SECCIONAL DE ADMINISTRACIÓN JUDICIAL DE PASTO LA ADQUISICIÓN MEDIANTE LA MODALIDAD DE COMPRAVENTA DE TAPABOCAS Y GUANTES PARA LOS SERVIDORES JUDICIALES DE LOS DISTRITOS JUDICIALES DE PASTO Y MOCOA</t>
  </si>
  <si>
    <t>DYD SAS</t>
  </si>
  <si>
    <t>O.C. 47666</t>
  </si>
  <si>
    <t>O.C. 47878</t>
  </si>
  <si>
    <t>ADQUISICIÓN DE TERMÓMETROS CON EL FIN DE APLICAR MEDIDAS DE CONTROL DE INGRESO DE PERSONAS A LAS SEDES JUDICIALES, DENTRO DE LAS MEDIDAS DE PREVENCIÓN DEL COVID19</t>
  </si>
  <si>
    <t>TERMOMETRO INFRA-ROJO 9V</t>
  </si>
  <si>
    <t xml:space="preserve">O.C. 47879 </t>
  </si>
  <si>
    <t>TERMOMETRO  INFRA-ROJO 9V</t>
  </si>
  <si>
    <t>O.C. 48782</t>
  </si>
  <si>
    <t>CONTRATAR EN NOMBRE DE LA NACIÓN, CONSEJO SUPERIOR DE JUDICATURA, DIRECCIÓN EJECUTIVA SECCIONAL DE ADMINISTRACIÓN JUDICIAL DE PASTO LA ADQUISICIÓN MEDIANTE LA MODALIDAD DE COMPRAVENTA DE GEL ANTIBACTERIAL, JABÓN LÍQUIDO Y ALCOHOL CON DESTINO A LOS DESPACHOS JUDICIALES Y ADMINISTRATIVOS DE LOS DISTRITOS JUDICIALES DE PASTO Y MOCOA, CONFORME A LAS ESPECIFICACIONES DEL OBJETO CONTRACTUAL</t>
  </si>
  <si>
    <t>O.C. 48783</t>
  </si>
  <si>
    <t xml:space="preserve">GEL ANTIBACTERIAL - </t>
  </si>
  <si>
    <t xml:space="preserve">JABÓN LÍQUIDO </t>
  </si>
  <si>
    <t>O.C. 48784</t>
  </si>
  <si>
    <t>CONTRATAR EN NOMBRE DE LA NACIÓN, CONSEJO SUPERIOR DE JUDICATURA, DIRECCIÓN
EJECUTIVA SECCIONAL DE ADMINISTRACIÓN JUDICIAL DE PASTO LA ADQUISICIÓN MEDIANTE
LA MODALIDAD DE COMPRAVENTA DE GEL ANTIBACTERIAL, JABÓN LÍQUIDO Y ALCOHOL CON
DESTINO A LOS DESPACHOS JUDICIALES Y ADMINISTRATIVOS DE LOS DISTRITOS JUDICIALES DE
PASTO Y MOCOA, CONFORME A LAS ESPECIFICACIONES DEL OBJETO CONTRACTUA</t>
  </si>
  <si>
    <t>JABÓN LÍQUIDO</t>
  </si>
  <si>
    <t>O.C. 48785</t>
  </si>
  <si>
    <t>GEL ANTIBACTERIAL -</t>
  </si>
  <si>
    <t>O.C. 48968</t>
  </si>
  <si>
    <t xml:space="preserve">ALCOHOL ISOPROPILICO 70% EN GEL </t>
  </si>
  <si>
    <t>O.C. 49003</t>
  </si>
  <si>
    <t>SERE GROUP SAS</t>
  </si>
  <si>
    <t>O.C. 49342</t>
  </si>
  <si>
    <t>CONTRATAR EN NOMBRE DE LA NACIÓN, CONSEJO SUPERIOR DE JUDICATURA, DIRECCIÓN
EJECUTIVA SECCIONAL DE ADMINISTRACIÓN JUDICIAL DE PASTO LA ADQUISICIÓN MEDIANTE
LA MODALIDAD DE COMPRAVENTA DE TERMÓMETROS INFRARROJOS PARA UBICAR EN ALGUNAS
SEDES JUDICIALES DE LOS DISTRITOS JUDICIALES DE PASTO Y MOCOA</t>
  </si>
  <si>
    <t>TERMOMETRO DIGITAL INFRA-ROJO</t>
  </si>
  <si>
    <t>CONTRATAR EN NOMBRE DE LA NACIÓN, CONSEJO SUPERIOR DE JUDICATURA, DIRECCIÓN EJECUTIVA SECCIONAL DE ADMINISTRACIÓN JUDICIAL DE PASTO, EL SUMINISTRO E INSTALACIÓN DE LAS DIVISIONES EN ALUMINIO E INTERCOMUNICADORES EN EL PALACIO DE JUSTICIA DE PASTO.</t>
  </si>
  <si>
    <t>ADC DECORACIONES LIMITADA</t>
  </si>
  <si>
    <t>BARRERA. PUERTA  BATIENTE  CON MARCO  DE ALUMINIO  NATURAL  EN PERFIL T-215, ADAPTADOR PROYECTANTE  Y PISA VIDRIO PROYECTANTE 635, CON VIDRIO DE 6 MM, CON VINILO ESMERILADO   SANDBLASTING,    EN   LA   PARTE   INFERIOR   Y SUPERIOR DOBLE VIDRIO DE 6 MM PARA FACILITAR LA COMUNICACIÓN   ENTRE   LA  PARTE   INTERIOR   Y  EXTERIOR, INCLUYE  VENTANA  CORREDIZA  PASA DOCUMENTOS  A UNA ALTURA  DE  90  CMS,  MESÓN  DE  APOYO  PASA DOCUMENTOS   INTERNO   CON   SISTEMA   REMOVIBLE,   EN MDF  CON  CUBIERTA  EN FORMICA  O SIMILAR,  CHAPA  DE SEGURIDAD  170 ¼. INCLUYE ASEO GENERAL</t>
  </si>
  <si>
    <t>METRO CUADRADO</t>
  </si>
  <si>
    <t xml:space="preserve">DIVISION  CON MARCO DE ALUMINIO  NATURAL EN PERFIL T-1101 Y PISAVIDRIO  PROYECTANTE  635, CON VIDRIO CRISTAL DE  5MM,  INCL.  ELEMENTOS   DE  FIJACIÓN  A  MESON  Y TECHO
</t>
  </si>
  <si>
    <t>SUMINISTRO E INSTALACIÓN DE: INTERCOMUNICADOR POTENCIA INTERNA MÍNIMA: 3   WATTS; POTENCIA    EXTERNA:    5-7.   DIMENSIONES: UNIDAD EXTERNA: DIÁMETRO 12.7 CM, PROFUNDIDAD 4.8 CM. UNIDAD INTERNA: DIÁMETRO 12.7 CM, PROFUNDIDAD 4.8 CM. MICRÓFONO FLEXIBLE: LARGO MÍNIMO: 59 CM. ADAPTADOR DE 110V/220V AC A 12V</t>
  </si>
  <si>
    <t>INTERCOMUNICADOR</t>
  </si>
  <si>
    <t>SUMINISTRO  E  INSTALACIÓN   DE  SALIDA  TOMACORRIENTE PARA INTERCOMUNICADOR</t>
  </si>
  <si>
    <t>CONTRATAR EN NOMBRE DE LA NACIÓN, CONSEJO SUPERIOR DE JUDICATURA, DIRECCIÓN EJECUTIVA SECCIONAL DE ADMINISTRACIÓN JUDICIAL DE PASTO, MEDIANTE LA MODALIDAD DE COMPRA VENTA, LA ADQUISICIÓN DE LAVAMANOS PORTÁTILES CON DESTINO A ALGUNAS SEDES JUDICIALES DE LOS DISTRITOS DE PASTO Y MOCOA.</t>
  </si>
  <si>
    <t>PROINCOL JK SAS</t>
  </si>
  <si>
    <t>LAVAMANOS EN ACERO INOXIDABLE ACCION CON PEDAL DOBLE FUNCIONALIDAD, PORTATIL.</t>
  </si>
  <si>
    <t>O.C. 50509</t>
  </si>
  <si>
    <t>CONTRATAR EN NOMBRE DE LA NACIÓN, CONSEJO SUPERIOR DE JUDICATURA,
DIRECCIÓN EJECUTIVA SECCIONAL DE ADMINISTRACIÓN JUDICIAL DE PASTO,
MEDIANTE LA MODALIDAD DE COMPRAVENTA, LA ADQUISICIÓN DE CARETAS
PLÁSTICAS PARA LOS SERVIDORES JUDICIALES Y ADMINISTRATIVOS DE LOS DISTRITOS
PASTO Y MOCOA</t>
  </si>
  <si>
    <t>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t>
  </si>
  <si>
    <t>ECO PLAGAS PUTUMAYO</t>
  </si>
  <si>
    <t xml:space="preserve">DESINFECCION - DESRATIZACION PALACIO DE JUSTICIA DE PASTO      </t>
  </si>
  <si>
    <t>DESINFECCION - DESRATIZACION ALMACEN SECCIONAL  PASTO</t>
  </si>
  <si>
    <t>DESINFECCION - DESRATIZACION PASTO- EDIFICIO CHAVES   PASTO</t>
  </si>
  <si>
    <t>DESINFECCION - DESRATIZACION PASTO - EDIFICIO   RIL    PASTO</t>
  </si>
  <si>
    <t>DESINFECCION - DESRATIZACION PASTO- EDIFICIO MONTANA   PASTO</t>
  </si>
  <si>
    <t>DESINFECCION - DESRATIZACION PASTOPASTO - EDIFICIO GENOVA   PASTO</t>
  </si>
  <si>
    <t>SEDE JUZGADO 1 DE COMPETENCIAS MULTIPLES PASTO</t>
  </si>
  <si>
    <t xml:space="preserve">ARCHIVO JUDICIAL PASTO        </t>
  </si>
  <si>
    <t>DESINFECCION - DESRATIZACION DESINFECCION - DESRATIZACION SEDE JUZGADO PROMISCUO MUNICIPAL  ANCUYA</t>
  </si>
  <si>
    <t>DESINFECCION - DESRATIZACION SEDE JUZGADO PROMISCUO MUNICIPAL  CONSACA</t>
  </si>
  <si>
    <t>DESINFECCION - DESRATIZACION SEDE JUZGADO PROMISCUO MUNICIPAL  LA FLORIDA</t>
  </si>
  <si>
    <t>DESINFECCION - DESRATIZACION SEDE JUZGADO PROMISCUO MUNICIPAL  YACUANQUER</t>
  </si>
  <si>
    <t>DESINFECCION - DESRATIZACION SEDE JUZGADO PROMISCUO MUNICIPAL  EL TABLON DE GOMEZ</t>
  </si>
  <si>
    <t>DESINFECCION - DESRATIZACION SEDE JUZGADO PROMISCUO MUNICIPAL  TAMINANGO</t>
  </si>
  <si>
    <t>DESINFECCION - DESRATIZACION SEDE JUZGADO PROMISCUO MUNICIPAL  SANDONA</t>
  </si>
  <si>
    <t>DESINFECCION - DESRATIZACION SEDE JUZGADO PROMISCUO MUNICIPAL  POLICARPA</t>
  </si>
  <si>
    <t>DESINFECCION - DESRATIZACION SEDE JUZGADO PROMISCUO MUNICIPAL  EL ROSARIO</t>
  </si>
  <si>
    <t>DESINFECCION - DESRATIZACION SEDE JUZGADO PROMISCUO MUNICIPAL  LEYVA</t>
  </si>
  <si>
    <t>DESINFECCION - DESRATIZACION SEDE JUZGADO PROMISCUO MUNICIPAL  NARIÑO</t>
  </si>
  <si>
    <t>DESINFECCION - DESRATIZACION SEDE JUZGADO PROMISCUO MUNICIPAL  CHACHAGUI</t>
  </si>
  <si>
    <t>DESINFECCION - DESRATIZACION SEDE JUZGADO PROMISCUO MUNICIPAL  EL TAMBO</t>
  </si>
  <si>
    <t>DESINFECCION - DESRATIZACION SEDE JUZGADO PROMISCUO MUNICIPAL  EL PEÑOL</t>
  </si>
  <si>
    <t>DESINFECCION - DESRATIZACION SEDE JUZGADO PROMISCUO MUNICIPAL  TANGUA</t>
  </si>
  <si>
    <t>DESINFECCION - DESRATIZACION SEDE JUZGADO PROMISCUO MUNICIPAL  BUESACO</t>
  </si>
  <si>
    <t xml:space="preserve">DESINFECCION - DESRATIZACION PALACIO DE JUSTICIA DE IPIALES    </t>
  </si>
  <si>
    <t>DESINFECCION - DESRATIZACION SEDE JUZGADO PROMISCUO MUNICIPAL  ALDANA</t>
  </si>
  <si>
    <t>DESINFECCION - DESRATIZACION SEDE JUZGADO PROMISCUO MUNICIPAL  PUERRES</t>
  </si>
  <si>
    <t xml:space="preserve">DESINFECCION - DESRATIZACION SEDE JUZGADO PROMISCUO MUNICIPAL  CUMBAL </t>
  </si>
  <si>
    <t>DESINFECCION - DESRATIZACION SEDE JUZGADO PROMISCUO MUNICIPAL  ILES</t>
  </si>
  <si>
    <t>DESINFECCION - DESRATIZACION SEDE JUZGADO PROMISCUO MUNICIPAL  CUASPUD</t>
  </si>
  <si>
    <t>DESINFECCION - DESRATIZACION SEDE JUZGADO PROMISCUO MUNICIPAL PUPIALES</t>
  </si>
  <si>
    <t>DESINFECCION - DESRATIZACION SEDE JUZGADO PROMISCUO MUNICIPAL  CORDOBA</t>
  </si>
  <si>
    <t>DESINFECCION - DESRATIZACION SEDE JUZGADO PROMISCUO MUNICIPAL  GUACHUCAL</t>
  </si>
  <si>
    <t>DESINFECCION - DESRATIZACION SEDE JUZGADO PROMISCUO MUNICIPAL  POTOSI</t>
  </si>
  <si>
    <t>DESINFECCION - DESRATIZACION SEDE JUZGADO PROMISCUO MUNICIPAL  GUALMATAN</t>
  </si>
  <si>
    <t>DESINFECCION - DESRATIZACION SEDE JUZGADO PROMISCUO MUNICIPAL  FUNES</t>
  </si>
  <si>
    <t>DESINFECCION - DESRATIZACION SEDE JUZGADO PROMISCUO MUNICIPAL  EL CONTADERO</t>
  </si>
  <si>
    <t xml:space="preserve">DESINFECCION - DESRATIZACION PALACIO DE JUSTICIA DE LA UNION       </t>
  </si>
  <si>
    <t>DESINFECCION - DESRATIZACION SEDE JUZGADO PROMISCUO MUNICIPAL  SAN LORENZO</t>
  </si>
  <si>
    <t>DESINFECCION - DESRATIZACION SEDE JUZGADO PROMISCUO MUNICIPAL  ARBOLEDA</t>
  </si>
  <si>
    <t>DESINFECCION - DESRATIZACION SEDE JUZGADO PROMISCUO MUNICIPAL  SAN PEDRO DE CARTAGO</t>
  </si>
  <si>
    <t>DESINFECCION - DESRATIZACION SEDE JUZGADO PROMISCUO MUNICIPAL  MAGUI PAYAN</t>
  </si>
  <si>
    <t>DESINFECCION - DESRATIZACION SEDE JUZGADO PROMISCUO MUNICIPAL  ROBERTO PAYAN</t>
  </si>
  <si>
    <t>DESINFECCION - DESRATIZACION SEDE JUZGADO PROMISCUO DE FAMILIA LA CRUZ</t>
  </si>
  <si>
    <t>DESINFECCION - DESRATIZACION SEDE JUZGADO PROMISCUO MUNICIPAL  BELEN</t>
  </si>
  <si>
    <t>DESINFECCION - DESRATIZACION SEDE JUZGADO PROMISCUO MUNICIPAL  SAN JOSE</t>
  </si>
  <si>
    <t>DESINFECCION - DESRATIZACION SEDE JUZGADO PROMISCUO MUNICIPAL  SAN PABLO</t>
  </si>
  <si>
    <t>DESINFECCION - DESRATIZACION SEDE JUZGADO PROMISCUO MUNICIPAL  COLON GENOVA</t>
  </si>
  <si>
    <t>DESINFECCION - DESRATIZACION SEDE JUZGADO PROMISCUO MUNICIPAL  SAN BERNARDO</t>
  </si>
  <si>
    <t>DESINFECCION - DESRATIZACION SEDE JUZGADO PROMISCUO DE FAMILIA SAMANIEGO</t>
  </si>
  <si>
    <t>DESINFECCION - DESRATIZACION SEDE JUZGADO PROMISCUO MUNICIPAL  CUMBITARA</t>
  </si>
  <si>
    <t>DESINFECCION - DESRATIZACION SEDE JUZGADO PROMISCUO MUNICIPAL  LINARES</t>
  </si>
  <si>
    <t>DESINFECCION - DESRATIZACION SEDE JUZGADO PROMISCUO MUNICIPAL  LA LLANADA</t>
  </si>
  <si>
    <t>DESINFECCION - DESRATIZACION SEDE JUZGADO PROMISCUO MUNICIPAL  PROVIDENCIA</t>
  </si>
  <si>
    <t>DESINFECCION - DESRATIZACION SEDE JUZGADO PROMISCUO MUNICIPAL  LOS ANDES SOTOMAYOR</t>
  </si>
  <si>
    <t xml:space="preserve">DESINFECCION - DESRATIZACION PALACIO DE JUSTICIA  DE TUMACO          </t>
  </si>
  <si>
    <t>DESINFECCION - DESRATIZACION SEDE  JUZGADOS  DE ADOSLESCENCIA, EJECUCION DE PENAS,  ARCHIVO JUDICIAL  DE TUMACO</t>
  </si>
  <si>
    <t>DESINFECCION - DESRATIZACION SEDE JUZGADO PROMISCUO MUNICIPAL  EL CHARCO</t>
  </si>
  <si>
    <t>DESINFECCION - DESRATIZACION SEDE JUZGADO PROMISCUO MUNICIPAL  MOSQUERA</t>
  </si>
  <si>
    <t>DESINFECCION - DESRATIZACION SEDE JUZGADO PROMISCUO MUNICIPAL  OLAYA HERRERA</t>
  </si>
  <si>
    <t>DESINFECCION - DESRATIZACION SEDE JUZGADO PROMISCUO MUNICIPAL  FRANCISCO PIZARRO</t>
  </si>
  <si>
    <t>DESINFECCION - DESRATIZACION SEDE JUZGADO PROMISCUO MUNICIPAL  LA TOLA</t>
  </si>
  <si>
    <t>DESINFECCION - DESRATIZACION SEDE JUZGADO PROMISCUO MUNICIPAL  SANTA BARBARA</t>
  </si>
  <si>
    <t xml:space="preserve">DESINFECCION - DESRATIZACION PALACIO DE JUSTICIA  TUQUERRES         </t>
  </si>
  <si>
    <t xml:space="preserve">ARCHIVO TUQUERRES           </t>
  </si>
  <si>
    <t>DESINFECCION - DESRATIZACION SEDE JUZGADO PROMISCUO MUNICIPAL  GUAITARILLA</t>
  </si>
  <si>
    <t>DESINFECCION - DESRATIZACION SEDE JUZGADO PROMISCUO MUNICIPAL  IMUEZ</t>
  </si>
  <si>
    <t>DESINFECCION - DESRATIZACION SEDE JUZGADO PROMISCUO MUNICIPAL  PIEDRANCHA</t>
  </si>
  <si>
    <t>DESINFECCION - DESRATIZACION SEDE JUZGADO PROMISCUO MUNICIPAL  OSPINA</t>
  </si>
  <si>
    <t>DESINFECCION - DESRATIZACION SEDE JUZGADO PROMISCUO MUNICIPAL  GUACHAVEZ</t>
  </si>
  <si>
    <t>DESINFECCION - DESRATIZACION SEDE JUZGADO PROMISCUO MUNICIPAL  RICAURTE</t>
  </si>
  <si>
    <t>DESINFECCION - DESRATIZACION SEDE JUZGADO PROMISCUO MUNICIPAL  SAPUYES</t>
  </si>
  <si>
    <t xml:space="preserve">DESINFECCION - DESRATIZACION PALACIO DE JUSTICIA DE MOCOA      </t>
  </si>
  <si>
    <t>EDIFICIO CASTILLO REAL  - BARRIO EL NARANJITO MOCOA</t>
  </si>
  <si>
    <t>DESINFECCION - DESRATIZACION SEDE JUZGADO PROMISCUO MUNICIPAL VILLAGARZON</t>
  </si>
  <si>
    <t>DESINFECCION - DESRATIZACION SEDE JUZGADO PROMISCUO MUNICIPAL  PUERTO GUZMAN</t>
  </si>
  <si>
    <t>DESINFECCION - DESRATIZACION PALACIO DE JUSTICIA PUERTO ASIS</t>
  </si>
  <si>
    <t>DESINFECCION - DESRATIZACION SEDE JUZGADO PROMISCUO MUNICIPAL  LA HORMIGA</t>
  </si>
  <si>
    <t>DESINFECCION - DESRATIZACION SEDE JUZGADO PROMISCUO MUNICIPAL  ORITO</t>
  </si>
  <si>
    <t>DESINFECCION - DESRATIZACION SEDE JUZGADO PROMISCUO MUNICIPAL  PUERTO CAICEDO</t>
  </si>
  <si>
    <t>DESINFECCION - DESRATIZACION SEDE JUZGADO PROMISCUO MUNICIPAL  SAN MIGUEL PUTUMAYO</t>
  </si>
  <si>
    <t>DESINFECCION - DESRATIZACION SEDE JUZGADO PROMISCUO MUNICIPAL  SAN FRANCISCO PUTUMAYO</t>
  </si>
  <si>
    <t>DESINFECCION - DESRATIZACION SEDE JUZGADO PROMISCUO MUNICIPAL  SANTIAGO PUTUMAYO</t>
  </si>
  <si>
    <t>DESINFECCION - DESRATIZACION SEDE JUZGADO PROMISCUO MUNICIPAL  COLON PUTUMAYO</t>
  </si>
  <si>
    <t>O.C. 50868</t>
  </si>
  <si>
    <t>CONTRATAR EN NOMBRE DE LA NACIÓN, CONSEJO SUPERIOR DE JUDICATURA, DIRECCIÓN
EJECUTIVA SECCIONAL DE ADMINISTRACIÓN JUDICIAL DE PASTO LA ADQUISICIÓN MEDIANTE
LA MODALIDAD DE COMPRAVENTA DE CONTENEDORES DE RESIDUOS, PARA UBICAR EN LAS
SEDES JUDICIALES DE LOS DISTRITOS JUDICIALES DE PASTO Y MOCOA</t>
  </si>
  <si>
    <t>CANECA 35 LT ROJA TAPA PEDAL</t>
  </si>
  <si>
    <t>CONTRATAR EN NOMBRE DE LA NACIÓN, CONSEJO SUPERIOR DE JUDICATURA, DIRECCIÓN EJECUTIVA SECCIONAL DE ADMINISTRACIÓN JUDICIAL DE PASTO EL SERVICIO DE VIGÍA DE LA SALUD EN ALGUNAS SEDES JUDICIALES DE LOS DISTRITOS DE PASTO Y MOCOA</t>
  </si>
  <si>
    <t>IPS PROTEGEMOS</t>
  </si>
  <si>
    <t>VIGÍAS DE LA SALUD EN: LA CRUZ</t>
  </si>
  <si>
    <t>VIGÍAS DE LA SALUD EN: SAMANIEGO</t>
  </si>
  <si>
    <t>VIGÍAS DE LA SALUD EN: TUMACO</t>
  </si>
  <si>
    <t>VIGÍAS DE LA SALUD EN: TUQUERRES</t>
  </si>
  <si>
    <t>VIGÍAS DE LA SALUD EN: IPIALES</t>
  </si>
  <si>
    <t>VIGÍAS DE LA SALUD EN: BARBACOAS</t>
  </si>
  <si>
    <t>VIGÍAS DE LA SALUD EN: LA UNIÓN</t>
  </si>
  <si>
    <t>VIGÍAS DE LA SALUD EN: MOCOA</t>
  </si>
  <si>
    <t>VIGÍAS DE LA SALUD EN: PUERTO ASÍS</t>
  </si>
  <si>
    <t>VIGÍAS DE LA SALUD EN: SIBUNDOY</t>
  </si>
  <si>
    <t>CONTRATAR EN NOMBRE DE LA NACIÓN, CONSEJO SUPERIOR DE JUDICATURA, DIRECCIÓN EJECUTIVA SECCIONAL DE ADMINISTRACIÓN JUDICIAL DE PASTO, MEDIANTE LA MODALIDAD DE COMPRAVENTA, LA ADQUISICIÓN DE SEÑALÉTICA SOBRE MEDIDAS DE PREVENCIÓN DEL COVID19, CON DESTINO A LAS DIFERENTES SEDES JUDICIALES DE LOS DISTRITOS DE PASTO Y MOCOA</t>
  </si>
  <si>
    <t>NICOLAS BRACK CASTAÑEDA</t>
  </si>
  <si>
    <t>CONTRATAR EN NOMBRE DE LA NACIÓN, CONSEJO SUPERIOR DE JUDICATURA, DIRECCIÓN EJECUTIVA SECCIONAL DE ADMINISTRACIÓN JUDICIAL DE PASTO EL SERVICIO DE VIGÍAS DE LA SALUD EN ALGUNAS SEDES JUDICIALES DE LOS DISTRITOS DE PASTO Y MOCOA</t>
  </si>
  <si>
    <t>CORPORACION VILLEGAS CONSULTORES</t>
  </si>
  <si>
    <t>VIGÍAS DE LA SALUD EN: PASTO</t>
  </si>
  <si>
    <t>OC 55762</t>
  </si>
  <si>
    <t>CONTRATAR EN NOMBRE DE LA NACIÓN, CONSEJO SUPERIOR DE JUDICATURA, DIRECCIÓN EJECUTIVA SECCIONAL DE ADMINISTRACIÓN JUDICIAL DE PASTO LA ADQUISICIÓN MEDIANTE LA MODALIDAD DE COMPRAVENTA DE TAPABOCAS Y GUANTES PARA LOS SERVIDORES JUDICIALES, ADMINISTRATIVOS Y USUARIOS DE LOS DISTRITOS JUDICIALES DE PASTO Y MOCOA</t>
  </si>
  <si>
    <t>TIKKE SAS</t>
  </si>
  <si>
    <t xml:space="preserve">OC 55763 </t>
  </si>
  <si>
    <t>CONTRATAR EN NOMBRE DE LA  NACIÓN, CONSEJO SUPERIOR DE JUDICATURA, DIRECCIÓN EJECUTIVA SECCIONAL DE ADMINISTRACIÓN JUDICIAL DE PASTO LA ADQUISICIÓN MEDIANTE LA MODALIDAD DE COMPRAVENTA DE TAPABOCAS Y GUANTES PARA LOS SERVIDORES JUDICIALES, ADMINISTRATIVOS Y USUARIOS DE LOS DISTRITOS JUDICIALES DE PASTO Y MOCOA</t>
  </si>
  <si>
    <t>OC 55765</t>
  </si>
  <si>
    <t>AESTHETICS &amp; MEDICAL SOLUTIONS S.A.S</t>
  </si>
  <si>
    <t>OC 57765</t>
  </si>
  <si>
    <t>CONTRATAR EN NOMBRE DE LA NACIÓN, CONSEJO SUPERIOR DE JUDICATURA, DIRECCIÓN EJECUTIVA SECCIONAL DE ADMINISTRACIÓN JUDICIAL DE PASTO LA ADQUISICIÓN MEDIANTE LA MODALIDAD DE COMPRAVENTA DE TERMÓMETROS INFRARROJO CON DESTINO A TODAS LAS SEDES JUDICIALES DE LOS DISTRITOS JUDICIALES DE PASTO Y MOCOA</t>
  </si>
  <si>
    <t>TEKMEDICA S.A.S</t>
  </si>
  <si>
    <t xml:space="preserve">TERMÓMETRO INFRAROJO </t>
  </si>
  <si>
    <t>OC 60209</t>
  </si>
  <si>
    <t>CONTRATAR EN NOMBRE DE LA NACIÓN, CONSEJO SUPERIOR DE JUDICATURA, DIRECCIÓN EJECUTIVA SECCIONAL DE ADMINISTRACIÓN JUDICIAL DE PASTO LA ADQUISICIÓN MEDIANTE LA MODALIDAD DE  OMPRAVENTA DE TAPABOCAS Y GUANTES PARA LOS SERVIDORES JUDICIALES, ADMINISTRATIVOS Y USUARIOS DE LOS DISTRITOS JUDICIALES DE PASTO Y MOCOA</t>
  </si>
  <si>
    <t>OC 60823</t>
  </si>
  <si>
    <t>CONTRATAR EN NOMBRE DE LA NACIÓN, CONSEJO SUPERIOR DE JUDICATURA, DIRECCIÓN EJECUTIVA SECCIONAL DE ADMINISTRACIÓN JUDICIAL DE PASTO LA ADQUISICIÓN MEDIANTE LA MODALIDAD DE COMPRAVENTA DE PRODUCTOS DE ASEO PARA APLICACIÓN DE MEDIDAS PARA PREVENIR CONTAGIO DEL VIRUS COVID19, CON DESTINO A LAS SEDES JUDICIALES DE LOS DISTRITOS DE PASTO Y MOCOA</t>
  </si>
  <si>
    <t>JABÓN DISPENSADOR PARA MANOS 2 - LÍQUIDO, EN RECIPIENTE PLÁSTICO CON CAPACIDAD MÍNIMA DE 3.785 CC</t>
  </si>
  <si>
    <t>GEL ANTIBACTERIAL - GALON</t>
  </si>
  <si>
    <t>GEL ANTIBACTERIAL - FC X1LT</t>
  </si>
  <si>
    <t>ALCOHOL - FRASCO</t>
  </si>
  <si>
    <t>OC 60824</t>
  </si>
  <si>
    <t xml:space="preserve">CONTRATAR EN NOMBRE DE LA NACIÓN, CONSEJO SUPERIOR DE JUDICATURA, DIRECCIÓN EJECUTIVA SECCIONAL DE ADMINISTRACIÓN JUDICIAL DE PASTO LA ADQUISICIÓN MEDIANTE LA MODALIDAD DE COMPRAVENTA DE PRODUCTOS DE ASEO PARA APLICACIÓN DE MEDIDAS PARA PREVENIR CONTAGIO DEL VIRUS COVID19, CON DESTINO A LAS SEDES JUDICIALES DE LOS  DISTRITOS DE PASTO Y MOCOA </t>
  </si>
  <si>
    <t>JABÓN DISPENSADOR PARA MANOS 1 - LÍQUIDO, EN RECIPIENTE PLÁSTICO CON DISPENSADOR Y CAPACIDAD MÍNIMA DE 500 ML</t>
  </si>
  <si>
    <t>TOALLAS PARA MANOS 3</t>
  </si>
  <si>
    <t>OC 60825</t>
  </si>
  <si>
    <t>ALCOHOL GALÓN X 3.750 ML - GALON</t>
  </si>
  <si>
    <t>OC 60826</t>
  </si>
  <si>
    <t>DISPENSADOR TOALLA DE MANOS</t>
  </si>
  <si>
    <t>OC 61209</t>
  </si>
  <si>
    <t>OC 61211</t>
  </si>
  <si>
    <t>OC  61462</t>
  </si>
  <si>
    <t>BASES PARA DISPENSADORES DE GEL DESINFECTANTE Y JABÓN LÍQUIDO PARA MANOS</t>
  </si>
  <si>
    <t>TOALLAS PARA MANOS 2</t>
  </si>
  <si>
    <t>OC 61463</t>
  </si>
  <si>
    <t>OC 61824</t>
  </si>
  <si>
    <t>CONTRATAR EN NOMBRE DE LA NACIÓN, CONSEJO SUPERIOR DE JUDICATURA, DIRECCIÓN EJECUTIVA SECCIONAL DE ADMINISTRACIÓN JUDICIAL DE PASTO LA  ADQUISICIÓN MEDIANTE LA MODALIDAD DE COMPRAVENTA DE TAPABOCAS Y GUANTES PARA LOS SERVIDORES JUDICIALES, ADMINISTRATIVOS Y USUARIOS DE LOS DISTRITOS JUDICIALES DE PASTO Y MOCOA</t>
  </si>
  <si>
    <t>SUQUIN SAS</t>
  </si>
  <si>
    <t>PEREIRA</t>
  </si>
  <si>
    <t>CD-UM-01-2020</t>
  </si>
  <si>
    <t>CONTRATAR EN NOMBRE DE LA NACIÓN – CONSEJO SUPERIOR DE LA JUDICATURA LA ADQUISICIÓN DE ELEMENTOS DE BIOSEGURIDAD, PARA LOS SERVIDORES JUDICIALES DEL DISTRITO JUDICIAL DE PEREIRA</t>
  </si>
  <si>
    <t>C.I. WARRIORS COMPANY SAS</t>
  </si>
  <si>
    <t>TAPABOCAS RESPIRADOR N95</t>
  </si>
  <si>
    <t>JABÓN DE MANOS</t>
  </si>
  <si>
    <t>GEL ANTIBACTERIAL PARA MANOS</t>
  </si>
  <si>
    <t>TOALLAS PARA MANOS DESECHABLES PAQUETE X 50</t>
  </si>
  <si>
    <t>DISPENSADOR DE TOALLAS DE MANOS CAPACIDAD DE 150 TOALLAS</t>
  </si>
  <si>
    <t>DISPENSADOR DE JABÓN LIQUIDO ACERO INOXIDABLE</t>
  </si>
  <si>
    <t>ELEMENTO DE BIOSEGURIDAD TRAJE DE PROTECCIÓN PERSONAL</t>
  </si>
  <si>
    <t>CD-UM-02-2020</t>
  </si>
  <si>
    <t>CONTRATAR EN NOMBRE DE LA NACIÓN – CONSEJO SUPERIOR DE LA JUDICATURA LA ADQUISICIÓN DE ACCESORIOS TECNOLÓGICOS DE APOYO, PARA LA REALIZACIÓN DE AUDIENCIAS VIRTUALES, MEDIDAS DE PREVENCIÓN Y AISLAMIENTO SOCIAL, PARA PREVENIR EL CONTAGIO DEL VIRUS COVID19 EN EL DISTRITO JUDICIAL DE PEREIRA.</t>
  </si>
  <si>
    <t>LA COMPUTIENDA SAS</t>
  </si>
  <si>
    <t>CÁMARA WEB</t>
  </si>
  <si>
    <t>POPAYÁN</t>
  </si>
  <si>
    <t>´19</t>
  </si>
  <si>
    <t>CONTRATAR A NOMBRE DE LA NACION - CONSEJO SUPERIOR DE LA JUDICATURA - DIRECCION SECCIONAL DE ADMINISTRACION JUDICIAL DE POPAYAN, LA PRESTACION DE SERVICIOS DE PERSONAL DE APOYO PARA EL FORTALECIMIENTO DE LAS MEDIDAS DE PREVENCION DEL CONTAGIO Y LA PROPAGACION DEL COVID - 19, ENCARGADOS DE LA TOMA DE TEMPERATURA CORPORAL, VERIFICACION DE SINTOMAS, ADEMAS DE VELAR POR EL CUMPLIMIENTO DE LOS PROTOCOLOS DE BIOSEGURIDAD DEFINIDOS POR LA ENTIDAD, EN LAS SEDES DE MAYOR INFLUENCIA EN EL DISTRITO JUDICIAL DE POPAYAN.</t>
  </si>
  <si>
    <t>CRUZ ROJA COLOMBIANA SECCIONAL CAUCA</t>
  </si>
  <si>
    <t>CONTRATACION DE PERSONAL DE APOYO PARA LA PREVENCION DEL CONTAGIO Y LA PROPAGACION DEL COVID-19</t>
  </si>
  <si>
    <t>´20</t>
  </si>
  <si>
    <t>CONTRATAR A NOMBRE DE LA NACION - CONSEJO SUPERIOR DE LA JUDICATURA - DIRECCION SECCIONAL DE ADMINISTRACION JUDICIAL DE POPAYAN, LA ADQUISICION  DE DIADEMAS Y CAMARAS WEB PARA LOS DESPACHOS JUDICIALES Y TRIBUNALES DEL DISTRITO JUDICIAL DE POPAYAN.</t>
  </si>
  <si>
    <t>JOSE ARLES CAMACHO VIVEROS</t>
  </si>
  <si>
    <t>DIADEMAS INHALAMBRICA VIDVIE</t>
  </si>
  <si>
    <t>WEB CAM HD1080 P</t>
  </si>
  <si>
    <t>´21</t>
  </si>
  <si>
    <t>CONTRATAR EN NOMBRE DE LA NACIÓN – CONSEJO SUPERIOR DE LA JUDICATURA – DIRECCIÓN EJECUTIVA SECCIONAL DE ADMINISTRACIÓN JUDICIAL DE POPAYÁN, LA ADQUISICIÓN O COMPRA DE OCHENTA (80) TAPETES DESINFECTANTES DE SUELAS DE ZAPATOS PARA DE LIMPIEZA Y/O DESINFECCIÓN Y OCHENTA (80) GALONES DE AMONIO CUATERNARIO QUE AYUDE A MITIGAR LA TRANSMISIÓN DE AGENTES INFECCIOSOS Y DE DISMINUIR LA PROBABILIDAD DE CONTAMINACIÓN CRUZADA, CON EL FIN DE FORTALECER LAS MEDIDAS DE PREVENCIÓN DEL CONTAGIO Y DE LA PROPAGACIÓN DEL COVID -19, CON LO QUE ADEMÁS SE PROPENDE POR EL CUMPLIMIENTO DE LOS PROTOCOLOS DE BIOSEGURIDAD DEFINIDOS POR LA ENTIDAD, EN LAS SEDES JUDICIALES.</t>
  </si>
  <si>
    <t>OCUPA SOLUCIONES S.A.S</t>
  </si>
  <si>
    <t>´22</t>
  </si>
  <si>
    <t>CONTRATAR EN NOMBRE DE LA NACIÓN – CONSEJO SUPERIOR DE LA JUDICATURA – DIRECCIÓN EJECUTIVA SECCIONAL DE ADMINISTRACIÓN JUDICIAL DE POPAYÁN, LA ADQUISICIÓN O COMPRA DE DOSCIENTAS (200) DIVISIONES METÁLICAS CON ACRÍLICO TRASLUCIDO CON EXCELENTES ACABADOS CON EL PROPÓSITO DE FACILITAR EL AISLAMIENTO DE LOS USUARIOS DE LA JUSTICIA Y LOS SERVIDORES JUDICIALES, QUE AYUDE A DISMINUIR LA PROBABILIDAD DE CONTAMINACIÓN Y DE CREAR UNA BARRERA DE PROTECCIÓN PARA QUIENES ATIENDEN PÚBLICO.</t>
  </si>
  <si>
    <t>JOHN ALEJANDRO FRANCO OTERO</t>
  </si>
  <si>
    <t>DIVISION METALICA CON ACRILICO TRASLUCIDA</t>
  </si>
  <si>
    <t>´23</t>
  </si>
  <si>
    <t>CONTRATAR A NOMBRE DE LA NACION - CONSEJO SUPERIOR DE LA JUDICATURA - DIRECCION SECCIONAL DE ADMINISTRACION JUDICIAL DE POPAYAN, LA ADQUISICION  DE SEÑALETICA PARA LA ADECUADA INFORMACION PARA LA PREVENCION DEL RIESGO DE CONTAGIO DEL COVID-19 Y DEL PROTOCOLO DE ACCESO A LOS INMUEBLES DEL DISTRITO JUDICIAL DE POPAYAN.</t>
  </si>
  <si>
    <t>BAYRON MARCELO AREVALO MUÑOZ</t>
  </si>
  <si>
    <t>TABLOIDE PROPALCOTE DE 320 GR.FULL COLOR DE 33CMS X 47CM 332</t>
  </si>
  <si>
    <t>VINILOS ADHESIVOS FULL IMPRESIÓN 21CMX16CM 106</t>
  </si>
  <si>
    <t>VINILO ADHESIVO CON PROTECCIÓN EN FLOORGRAPHIC MEDIDAS 5CMS X 47CMS 500</t>
  </si>
  <si>
    <t>´01</t>
  </si>
  <si>
    <t>CONTRATAR LA ADQUISICIÓN DE ELEMENTOS PARA LA PREVENCIÓN DE LA PROPAGACIÓN DEL VIRUS COVID-19.</t>
  </si>
  <si>
    <t>INFOSUR LTDA</t>
  </si>
  <si>
    <t xml:space="preserve">JABON LIQUIDO MANOS ANT </t>
  </si>
  <si>
    <t>DISPENSADOR PARA JABON DE MANOS</t>
  </si>
  <si>
    <t xml:space="preserve">JABON ESPUMA GOLO </t>
  </si>
  <si>
    <t>GUANTES PROTEX LATEX EXAMEN T/M100</t>
  </si>
  <si>
    <t>GUANTES PROTEX LATEX EXAMEN T/L</t>
  </si>
  <si>
    <t xml:space="preserve">JABON BACTISAN SCOTT SPRAY </t>
  </si>
  <si>
    <t>´02</t>
  </si>
  <si>
    <t>CONTRATAR LA ADQUISICIÓN DE ELEMENTOS PARA LA PREVENCIÓN DE LA PROPAGACIÓN DEL VIRUS COVID-19 (TAPABOCAS Y GUANTES)</t>
  </si>
  <si>
    <t>GRUPO UNIVERSALES PROVEEDORES INTEGRALES S.A.S.</t>
  </si>
  <si>
    <t>GUANTES LATEX C X 100 UND T XS</t>
  </si>
  <si>
    <t>GUANTES LATEX C X 100 UND T S</t>
  </si>
  <si>
    <t>TAPABOCA DESECHABLE RESORTADO</t>
  </si>
  <si>
    <t>´04</t>
  </si>
  <si>
    <t>CONTRATAR LA ADQUISICIÓN DE ELEMENTOS PARA LA PREVENCIÓN DE LA PROPAGACIÓN DEL VIRUS COVID-19 GEL ANTIBACTERIAL</t>
  </si>
  <si>
    <t>´05</t>
  </si>
  <si>
    <t>GRUPO EMPRESARIAL VID S.A.S.</t>
  </si>
  <si>
    <t>TRAJE TIPO TYBEK BLANCO</t>
  </si>
  <si>
    <t>GAFA CLARA SENCILLA</t>
  </si>
  <si>
    <t>O.C. 46250</t>
  </si>
  <si>
    <t>ESTUDIOS Y DOCUMENTOS PREVIOS PARA LA ADQUISICIÓN DE TOALLAS DE PAPEL PARA MANOS, CON DESTINO A LOS FUNCIONARIOS Y EMPLEADOS DE LAS CORPORACIONES Y DESPACHOS JUDICIALES DEL DEPARTAMENTO DEL CAUCA, EN ATENCIÓN Y APLICACIÓN DE LOS LINEAMIENTOS EMITIDOS POR EL MINISTERIO DE TRABAJO EN LA CIRCULAR NO. 0017 DE FECHA 24 DE FEBRERO DE 2020 – COVID-19.</t>
  </si>
  <si>
    <t>TOALLA PARA MANOS NATURAL X 100 MT</t>
  </si>
  <si>
    <t>´06</t>
  </si>
  <si>
    <t>CONTRATAR LA ADQUISICIÓN DE ELEMENTOS PARA LA PREVENCIÓN DE LA PROPAGACIÓN DEL VIRUS COVID-19 (GEL ANTIBACTERIAL Y GUANTES)</t>
  </si>
  <si>
    <t>GEL 1L</t>
  </si>
  <si>
    <t>CAJA DE GUANTES LATEX X 100 UND</t>
  </si>
  <si>
    <t>´07</t>
  </si>
  <si>
    <t>CONTRATAR LA ADQUISICIÓN DE ELEMENTOS PARA LA PREVENCIÓN DE LA PROPAGACIÓN DEL VIRUS COVID-19 (TAPABOCAS)</t>
  </si>
  <si>
    <t>TAPABOCAS DESECHABLES UNIVERSALES</t>
  </si>
  <si>
    <t>´13</t>
  </si>
  <si>
    <t>CONTRATAR LA ADQUISICIÓN DE ELEMENTOS PARA LA PREVENCIÓN DE LA PROPAGACIÓN DEL VIRUS COVID-19. (TAPABOCAS OXINDUSTRIAL)</t>
  </si>
  <si>
    <t>GRUPO EMPRESARIAL VID S.A.S</t>
  </si>
  <si>
    <t>RESPIRADOR DE TELA ECONOMICO NEGRO /AZUL/BLANCO</t>
  </si>
  <si>
    <t>´15</t>
  </si>
  <si>
    <t>REPARACION DEL SISTEMA DE BOMBEO DE AGUA Y EL MANTENIMIENTO DE ALGUNOS APARATOS SANITARIOS EN EL PALACIO DE JUSTICIA DEL DORDO CAUCA, A TODO COSTO</t>
  </si>
  <si>
    <t>HERNAN OBANDO</t>
  </si>
  <si>
    <t>REPARACIÓN  DEL  SISTEMA  DE  BOMBEO  DE  AGUA  Y  EL MANTENIMIENTODE ALGUNOS APARATOS SANITARIOS EN EL PALACIO DE JUSTICIA DE EL BORDO</t>
  </si>
  <si>
    <t>CONTRATAR LA ADQUISICIÓN DE ELEMENTOS DE PROTECCIÓN PERSONAL PARA LA PREVENCIÓN DE LA PROPAGACIÓN DEL VIRUS COVID 19 - TAPABOCAS DOBLETELA REUTILIZABLES.</t>
  </si>
  <si>
    <t>TAPABOCAS DOBLETELA REUTILIZABLES</t>
  </si>
  <si>
    <t>CONTRATAR LA ADQUISICIÓN DE ELEMENTOS DE PROTECCIÓN PERSONAL PARA LA PREVENCIÓN DE LA PROPAGACIÓN DEL VIRUS COVID 19. GUANTES DE NITRILO</t>
  </si>
  <si>
    <t>OFIBEST SAS</t>
  </si>
  <si>
    <t>CONTRATAR LA ADQUISICIÓN DE ELEMENTOS DE PROTECCIÓN PERSONAL PARA LA PREVENCIÓN DE LA PROPAGACIÓN DEL VIRUS COVID 19. JABON PARA MANOS</t>
  </si>
  <si>
    <t>CONTRATAR LA ADQUISICIÓN DE ELEMENTOS DE PROTECCIÓN PERSONAL PARA LA PREVENCIÓN DE LA PROPAGACIÓN DEL VIRUS COVID 19 (GEL ANTIBACTERIAL).</t>
  </si>
  <si>
    <t>CONTRATAR LA ADQUISICIÓN DE ELEMENTOS DE PROTECCIÓN PERSONAL PARA LA PREVENCIÓN DE LA PROPAGACIÓN DEL VIRUS COVID 19 (TOALLAS PARA MANOS).</t>
  </si>
  <si>
    <t>ADQUISICIÓN DE ELEMENTOS DE PROTECCIÓN PERSONAL PARA LA PREVENCIÓN DE LA PROPAGACIÓN DEL VIRUS COVID 19 - TERMOMETROS DIGITALES</t>
  </si>
  <si>
    <t>CONTRATAR LA ADQUISICIÓN DE ELEMENTOS DE PROTECCIÓN PERSONAL PARA LA PREVENCIÓN PROPAGACIÓN DEL VIRUS COVID 19 - DISPENSADORES DE GEL</t>
  </si>
  <si>
    <t>DISPENSADORES DE GEL</t>
  </si>
  <si>
    <t>CONTRATAR LA ADQUISICIÓN DE ELEMENTOS DE PROTECCIÓN PERSONAL PARA LA PREVENCIÓN DE LA PROPAGACIÓN DEL VIRUS COVID 19 CON RECURSOS DE INVERSIÓN ASIGNADOS MEDIANTE ACUERDO PCSJA20-11564 DEL 04 DE JUNIO DE 2020 (TAPABOCAS DOBLE TELA LAVABLE).</t>
  </si>
  <si>
    <t>LAVAMANOS PORTATIL</t>
  </si>
  <si>
    <t>´40</t>
  </si>
  <si>
    <t>CONTRATAR EN NOMBRE DE LA NACIÓN –CONSEJO SUPERIOR DE LA JUDICATURA –DIRECCIÓN EJECUTIVA SECCIONAL DE ADMINISTRACIÓN JUDICIAL DE POPAYÁN, LA PRESTACIÓN DE SERVICIOS DE PERSONAL DE APOYO PARA EL FORTALECIMIENTO DE LAS MEDIDAS DE PREVENCIÓN DEL CONTAGIO Y DE LA PROPAGACIÓN DEL COVID -19, ENCARGADOS DE LA TOMA DE TEMPERATURA CORPORAL, VERIFICACIÓN DE SÍNTOMAS, ADEMÁS DE VELAR POR EL CUMPLIMIENTO DE LOS PROTOCOLOS DE BIOSEGURIDAD DEFINIDOS POR LA ENTIDAD, EN LAS SEDES DE MAYOR AFLUENCIA EN EL DISTRITO JUDICIAL DE POPAYÁN</t>
  </si>
  <si>
    <t>CENTRO DE SERVICIOS DE SALUD SANTANGEL AGENCIA POPAYÁN</t>
  </si>
  <si>
    <t>900063271-4</t>
  </si>
  <si>
    <t>´54</t>
  </si>
  <si>
    <t>CONTRATAR LA PRESTACIÓN DE SERVICIOS DE PERSONAL DE APOYO PARA EL FORTALECIMIENTO DE LAS MEDIDAS DE PREVENCIÓN DEL CONTAGIO Y DE LA PROPAGACIÓN DEL COVID -19, ENCARGADOS DE LA TOMA DE TEMPERATURA CORPORAL, VERIFICACIÓN DE SÍNTOMAS, ADEMÁS DE VELAR POR EL CUMPLIMIENTO DE LOS PROTOCOLOS DE BIOSEGURIDAD DEFINIDOS POR LA ENTIDAD, EN LAS SEDES DE MAYOR AFLUENCIA EN EL DISTRITO JUDICIAL DE POPAYÁN</t>
  </si>
  <si>
    <t>CENTRO DE SERVICIOS DE SALUD SANTANGEL S.A IPS, AGENCIA POPAYÁN</t>
  </si>
  <si>
    <t>´60</t>
  </si>
  <si>
    <t>CONTRATAR EN NOMBRE DE LA NACIÓN – CONSEJO SUPERIOR DE LA JUDICATURA  – DIRECCIÓN EJECUTIVA SECCIONAL DE ADMINISTRACIÓN JUDICIAL DE POPAYÁN, LA ADQUISICIÓN O COMPRA DE ELEMENTOS DE ASEO ( ALCOHOL Y GEL ANTIBACTERIAL) QUE AYUDE A MITIGAR LA TRANSMISIÓN DE AGENTES INFECCIOSOS Y DE DISMINUIR LA PROBABILIDAD DE CONTAMINACIÓN CRUZADA, CON EL FIN DE FORTALECER LAS MEDIDAS DE PREVENCIÓN DEL CONTAGIO Y DE LA PROPAGACIÓN DEL COVID -19, EN LOS FUNCIONARIOS, EMPLEADOS, JUDICANTES Y USUARIOS DE LA RAMA JUDICIAL DEL DISTRITO JUDICIAL DE POPAYÁN, CON LO QUE ADEMÁS SE PROPENDE POR EL CU</t>
  </si>
  <si>
    <t>INSUMOS CLEAN HOUSE SAS</t>
  </si>
  <si>
    <t>901086577-5</t>
  </si>
  <si>
    <t>ALCOHOL ANTISEPTICO GALON</t>
  </si>
  <si>
    <t>GEL ANTIBACTERIAL - FC</t>
  </si>
  <si>
    <t>OC-54991</t>
  </si>
  <si>
    <t>ADQUIRIR DISPOSITIVOS PERIFÉRICOS PARA LA DIGITALIZACIÓN DE EXPEDIENTES Y EL TRABAJO REMOTO, DEL PROYECTO DE FORTALECIMIENTO DE LA PLATAFORMA PARA LA GESTIÓN TECNOLÓGICA NACIONAL</t>
  </si>
  <si>
    <t>GRUPO EMPRESARIAL CREAR DE COLOMBIA S.A.S</t>
  </si>
  <si>
    <t>900564459-1</t>
  </si>
  <si>
    <t>OC-55127</t>
  </si>
  <si>
    <t>CONTRATAR EL SUMINISTRO DE ELEMENTOS DE PROTECCION PERSONAL PARA LA PREVENCIÓN DEL COVID- 19 EN CUMPLIMIENTO DE NUESTRO PLAN DE COMPRAS Y DEL PROTOCOLO DE ACCESO A SEDES - MEDIDAS COMPLEMENTARIAS PARA PREVENCIÓN DEL CONTAGIO DEL COVID-19 EN LOS SERVIDORES JUDICIALES, CONTRATISTAS DE PRESTACIÓN DE SERVICIOS Y JUDICANTES</t>
  </si>
  <si>
    <t>OC-55956</t>
  </si>
  <si>
    <t>FORTALECIMIENTO DE LA PLATAFORMA PARA LA GESTIÓN TECNOLÓGICA NACIONAL - ADQUISICIÓN DE CÁMARAS</t>
  </si>
  <si>
    <t>MULTIVERSE TECH SERVICES SAS</t>
  </si>
  <si>
    <t>900584757-7</t>
  </si>
  <si>
    <t>OC-55957</t>
  </si>
  <si>
    <t>FORTALECIMIENTO DE LA PLATAFORMA PARA LA GESTIÓN TECNOLÓGICA NACIONAL - ADQUISICIÓN DIADEMAS</t>
  </si>
  <si>
    <t>OC-57360</t>
  </si>
  <si>
    <t>ADQUISICIÓN DE CARGADORES Y PILAS RECARGABLES PARA LOS TERMÓMETROS DIGITALES DESTINADOS PARA TOMA DE TEMPERATURA AL INGRESO DE LAS SEDES JUDICIALES</t>
  </si>
  <si>
    <t>830037946-3</t>
  </si>
  <si>
    <t>OC-60266</t>
  </si>
  <si>
    <t>CONTRATAR LA ADQUISICIÓN DE ELEMENTOS DE PROTECCION PERSONAL Y ELEMENTOS DE LIMPIEZA Y DESINFECCIÓN (TAPABOCAS, AMONIO, PAÑOS DE LIMPIEZA, FRASCOS PLASTICOS,) PARA LA PREVENCIÓN DEL CONTAGIO Y LA PROPAGACION DEL COVID-19 EN LOS FUNCIONARIOS, EMPLEADOS, JUDICANTES Y USUARIOS DE LA RAMA JUDICIAL DEL DISTRITO JUDICIAL DE POPAYAN.</t>
  </si>
  <si>
    <t>900401081-2</t>
  </si>
  <si>
    <t>OC-60730</t>
  </si>
  <si>
    <t>CONTRATAR LA ADQUISICIÓN DE ELEMENTOS DE PROTECCIÓN PERSONAL Y ELEMENTOS DE LIMPIEZA Y DESINFECCIÓN (TOALLAS DE PAPEL PARA MANOS) PARA LA PREVENCIÓN DEL CONTAGIO Y LA PROPAGACIÓN DEL COVID-19 EN LOS FUNCIONARIOS, EMPLEADOS, JUDICANTES Y USUARIOS DE LA RAMA JUDICIAL DEL DISTRITO JUDICIAL DE POPAYÁN.</t>
  </si>
  <si>
    <t>19254921-8</t>
  </si>
  <si>
    <t>OC-61160</t>
  </si>
  <si>
    <t>CONTRATAR LA ADQUISICIÓN DE ELEMENTOS DE PROTECCIÓN PERSONAL Y ELEMENTOS DE LIMPIEZA Y DESINFECCIÓN (LAVAMANOS PORTÁTILES) PARA LA PREVENCIÓN DEL CONTAGIO Y LA PROPAGACIÓN DEL COVID-19 EN LOS FUNCIONARIOS, EMPLEADOS, JUDICANTES Y USUARIOS DE LA RAMA JUDICIAL DEL DISTRITO JUDICIAL DE POPAYÁN.</t>
  </si>
  <si>
    <t>900300970-1</t>
  </si>
  <si>
    <t>OC-61623</t>
  </si>
  <si>
    <t>CONTRATAR LA ADQUISICIÓN DE ELEMENTOS DE PROTECCIÓN PERSONAL (GUANTES DE NITRILO Y TRAJES DESECHABLES) PARA LA PREVENCIÓN DEL CONTAGIO Y LA PROPAGACIÓN DEL COVID-19 EN LOS FUNCIONARIOS, EMPLEADOS, JUDICANTES Y USUARIOS DE LA RAMA JUDICIAL DEL DISTRITO JUDICIAL DE POPAYÁN.</t>
  </si>
  <si>
    <t>OC-61624</t>
  </si>
  <si>
    <t>CONTRATAR LA ADQUISICIÓN DE ELEMENTOS DE PROTECCIÓN PERSONAL Y ELEMENTOS DE LIMPIEZA Y DESINFECCIÓN (TAPABOCAS, AMONIO CUATERNARIO, PAÑOS DE LIMPIEZA, FRASCOS PLÁSTICOS) PARA LA PREVENCIÓN DEL CONTAGIO Y LA PROPAGACIÓN DEL COVID- 19 EN LOS FUNCIONARIOS, EMPLEADOS, JUDICANTES Y USUARIOS DE LA RAMA JUDICIAL DEL DISTRITO JUDICIAL DE POPAYÁN.</t>
  </si>
  <si>
    <t>DIGILED TECHNOLOGY S.A.S</t>
  </si>
  <si>
    <t>901104771-6</t>
  </si>
  <si>
    <t>OC-61625</t>
  </si>
  <si>
    <t>CONTRATAR LA ADQUISICIÓN DE ELEMENTOS DE PROTECCIÓN PERSONAL Y ELEMENTOS DE LIMPIEZA Y DESINFECCIÓN (TAPABOCAS, AMONIO CUATERNARIO, PAÑOS DE LIMPIEZA, FRASCOS PLÁSTICOS) PARA LA PREVENCIÓN DEL CONTAGIO Y LA PROPAGACIÓN DEL COVID- 19 EN LOS FUNCIONARIOS, EMPLEADOS, JUDICANTES Y USUARIOS DE LA RAMA JUDICIAL DEL DISTRITO JUDICIAL DE POPAYÁN</t>
  </si>
  <si>
    <t>OC-61626</t>
  </si>
  <si>
    <t>900791672-7</t>
  </si>
  <si>
    <t>OC-61834</t>
  </si>
  <si>
    <t>CONTRATAR LA ADQUISICIÓN DE ELEMENTOS DE PROTECCIÓN PERSONAL Y ELEMENTOS DE LIMPIEZA Y DESINFECCIÓN (TAPABOCAS, JABÓN, AMONIO CUATERNARIO, PAÑOS DE LIMPIEZA, FRASCOS PLÁSTICOS) PARA LA PREVENCIÓN DEL CONTAGIO Y LA PROPAGACIÓN DEL COVID-19 EN LOS FUNCIONARIOS, EMPLEADOS, JUDICANTES Y USUARIOS DE LA RAMA JUDICIAL DEL DISTRITO JUDICIAL DE POPAYÁN.</t>
  </si>
  <si>
    <t>OC-61837</t>
  </si>
  <si>
    <t>CONTRATAR LA ADQUISICIÓN DE EQUIPOS BIOMÉDICOS (TERMÓMETROS DIGITALES) PARA LA PREVENCIÓN DEL CONTAGIO Y LA PROPAGACIÓN DEL COVID-19 EN LOS FUNCIONARIOS, EMPLEADOS, JUDICANTES Y USUARIOS DE LA RAMA JUDICIAL DEL DISTRITO JUDICIAL DE POPAYÁN.</t>
  </si>
  <si>
    <t>AVANZA INTERNACIONAL GROUP</t>
  </si>
  <si>
    <t>900505419-5</t>
  </si>
  <si>
    <t>OC-63067</t>
  </si>
  <si>
    <t>OC-63191</t>
  </si>
  <si>
    <t>CONTRATAR LA ADQUISICIÓN DE ELEMENTOS DE ASEO ( ALCOHOL Y GEL ANTIBACTERIAL) QUE AYUDE A MITIGAR LA TRANSMISIÓN DE AGENTES INFECCIOSOS Y DE DISMINUIR LA PROBABILIDAD DE CONTAMINACIÓN CRUZADA, CON EL FIN DE FORTALECER LAS MEDIDAS DE PREVENCIÓN DEL CONTAGIO Y DE LA PROPAGACIÓN DEL COVID -19, EN LOS FUNCIONARIOS, EMPLEADOS, JUDICANTES Y USUARIOS DE LA RAMA JUDICIAL DEL DISTRITO JUDICIAL DE POPAYÁN, CON LO QUE ADEMÁS SE PROPENDE POR EL CUMPLIMIENTO DE LOS PROTOCOLOS DE BIOSEGURIDAD DEFINIDOS POR LA ENTIDAD</t>
  </si>
  <si>
    <t>900155107-1</t>
  </si>
  <si>
    <t>SANTA MARTA</t>
  </si>
  <si>
    <t xml:space="preserve">PRESTAR EL SERVICIO DE ASEO INTEGRAL EN LAS OFICINAS ADMINISTRATIVAS Y DESPACHOS JUDICIALES </t>
  </si>
  <si>
    <t>ASEAR S.A E.S.P</t>
  </si>
  <si>
    <t xml:space="preserve">ALCOHOL ANTISÉPTICO </t>
  </si>
  <si>
    <t>ALCOHOL INDUSTRIAL X LITROS</t>
  </si>
  <si>
    <t>GUANTES DE NITRILO CAJA X 50</t>
  </si>
  <si>
    <t xml:space="preserve">
TOALLA PAPEL RESIST. Y ABSORB X50
</t>
  </si>
  <si>
    <t xml:space="preserve">
GEL ANTIBACTERIAL X LITRO
</t>
  </si>
  <si>
    <t xml:space="preserve">
TAPABOCA TELA ANTIFLUIDO
</t>
  </si>
  <si>
    <t xml:space="preserve">
MONOGAFAS DE PROTECCIÓN
</t>
  </si>
  <si>
    <t>DESINFECTANTE X LITRO</t>
  </si>
  <si>
    <t xml:space="preserve">
DOSIFICADORES DE PUSH X 500 ML
</t>
  </si>
  <si>
    <t xml:space="preserve">
ATOMIZADORES X 500 ML
</t>
  </si>
  <si>
    <t xml:space="preserve">
TRAJE BIOSEGURIDAD REUTILIZABLE X 3 VECES
</t>
  </si>
  <si>
    <t xml:space="preserve">SANTA MARTA </t>
  </si>
  <si>
    <t>ASEAR E.S.P S.A</t>
  </si>
  <si>
    <t xml:space="preserve">  811044253-8</t>
  </si>
  <si>
    <t xml:space="preserve">BATAS EN TELA ANTIFLUIDO </t>
  </si>
  <si>
    <t>90030097-0</t>
  </si>
  <si>
    <t xml:space="preserve">BASES DISPENSADORAS DE GEL </t>
  </si>
  <si>
    <t>BONSANTE S.A.S</t>
  </si>
  <si>
    <t>90121167-8</t>
  </si>
  <si>
    <t>CARETAS DE PROTECCION FACIAL</t>
  </si>
  <si>
    <t>GLOBAL COLOMBIA S.A.S</t>
  </si>
  <si>
    <t>830051855-1</t>
  </si>
  <si>
    <t xml:space="preserve">SOLOASEO CAFETERIA DISTRIBUCIONES </t>
  </si>
  <si>
    <t>GEL ANTIBACTERIAL X 1 LITRO</t>
  </si>
  <si>
    <t>TOALLAS PARA MANOS X 150 UN</t>
  </si>
  <si>
    <t>ALCOHOL  FRASCO X 750 CC</t>
  </si>
  <si>
    <t>GRUPO EMPRESARIAL S.A.S</t>
  </si>
  <si>
    <t>900353659-9</t>
  </si>
  <si>
    <t>LAVAMANOS PORTATILES AUTONOMO CON DISPENSADORES INCLUIDOS</t>
  </si>
  <si>
    <t>ÉXITO S.A</t>
  </si>
  <si>
    <t>89090060-8</t>
  </si>
  <si>
    <t xml:space="preserve">TAPETES DE DESINFECCION </t>
  </si>
  <si>
    <t>SINCELEJO</t>
  </si>
  <si>
    <t>CD 03 DE 2020</t>
  </si>
  <si>
    <t>COMPRAVENTA DE INSUMOS PARA ATENDER EMERGENCIA SANITARIA OCASIONADA POR EL COVID-19 EN LAS SEDES JUDICIALES DEL DEPARTAMENTO DE SUCRE</t>
  </si>
  <si>
    <t>ARMANDO MARTIN NIETO CASTAÑO</t>
  </si>
  <si>
    <t>TRAJE ENTERO ANTIFLUIDO</t>
  </si>
  <si>
    <t>TAPABOCAS DESECHABLES EN PAQUETES INDIVIDUALES</t>
  </si>
  <si>
    <t xml:space="preserve"> TOALLAS MANOS DESECHABLES EN Z</t>
  </si>
  <si>
    <t>GUANTES LATEX TALLA L Y M</t>
  </si>
  <si>
    <t>ADICION CD 03 DE 2020</t>
  </si>
  <si>
    <t>CD 05 DE 2020</t>
  </si>
  <si>
    <t>COMPRA Y ALQUILER DE COMPUTADORES PORTATILES PARA ATENDER AUDIENCIAS VIRTUALES EN EL CONTEXTO DE LA EMERGENCIA SANITARIA</t>
  </si>
  <si>
    <t>LEONARDO FABIO PERALTA VILLEGAS</t>
  </si>
  <si>
    <t>ADQUISICION COMPUTADORES PORTATILES HP</t>
  </si>
  <si>
    <t>ALQUILER DE 10 COMPUTADORES PORTATILES X 2 MESES</t>
  </si>
  <si>
    <t>CD 06 DE 2020</t>
  </si>
  <si>
    <t>ALFA SUPPLIES SAS</t>
  </si>
  <si>
    <t>GAFAS PROTECTORAS TRANSPARENTES DE SEGURIDAD</t>
  </si>
  <si>
    <t>MASCARILLAS BLANCAS TERMOSELLADAS (TAPABOCAS)</t>
  </si>
  <si>
    <t>GUANTES NITRILO TALLA M Y L</t>
  </si>
  <si>
    <t>CD 07 DE 2020</t>
  </si>
  <si>
    <t>CONSULTORIA PARA LA ASESORÍA, DISEÑO Y CERTIFICACIÓN DE LA IMPLEMENTACIÓN DEL PROTOCOLO DE ACCESO A SEDES, ESTABLECIDO POR LA DEAJ A TRAVÉS DE LA CIRCULAR DEAJC20-35 DE 5 DE MAYO DE 2020, EN LAS SEDES JUDICIALES DEL DEPARTAMENTO DE SUCRE</t>
  </si>
  <si>
    <t>ALICIA MARÍA GÁMEZ CAUSIL</t>
  </si>
  <si>
    <t>ASESORIA, DISEÑO Y CERTIF. PROTOCOLOS DE BIOSEGURIDAD</t>
  </si>
  <si>
    <t>CONSULTORIA</t>
  </si>
  <si>
    <t>CD 08 DE 2020</t>
  </si>
  <si>
    <t>ADQUISICIÓN DE TAPETES DE DESINFECCIÓN Y SU SANITIZANTE, PARA TODAS LAS SEDES JUDICIALES DEL DEPARTAMENTO DE SUCRE, EN VIRTUD DE MITIGAR EL RIESGO DE CONTAGIO CON EL COVID-19</t>
  </si>
  <si>
    <t>COMERCIALIZADORA DA VINCI S.A.S</t>
  </si>
  <si>
    <t>KIT DESINF.TAPETE: 1 TAPETE DESINF. LIQ Y 1 ATRAPA HUMEDAD .55 X .55 MAS SANITIZANTE POR 4,5 LTS</t>
  </si>
  <si>
    <t>KIT DESINF.TAPETE: 1 TAPETE DESINF. LIQ Y 1 ATRAPA HUMEDAD 1,00 X .65 MAS SANITIZANTE POR 4,5 LTS</t>
  </si>
  <si>
    <t xml:space="preserve">SANITIZANTE SOLUCION RECIPIENTE </t>
  </si>
  <si>
    <t>CD 09 DE 2020</t>
  </si>
  <si>
    <t>SERVICIO DE IMPRESIÓN DE AVISOS INFORMATIVOS Y SEÑALIZACIONES, RELACIONADAS CON MEDIDAS PREVENTIVAS CONTRA EL COVID-19, PARA SER INSTALADAS EN TODAS LAS SEDES JUDICIALES DEL DEPARTAMENTO DE SUCRE</t>
  </si>
  <si>
    <t xml:space="preserve">ERNESTO BELTRAN BELTRÁN </t>
  </si>
  <si>
    <t>IMPRESIÓN KITS SEÑALIZACION BIOSEGURIDAD</t>
  </si>
  <si>
    <t>CD 010-2020</t>
  </si>
  <si>
    <t>ADQUISICIÓN DE DISPENSADORES DE PEDAL PARA SUMINISTRO DE GEL ANTIBACTERIAL EN LAS ZONAS COMUNES DE LAS SEDES JUDICIALES DEL DEPARTAMENTO DEL SUCRE COMO MEDIDA DE PREVENCIÓN DE CONTAGIO CON COVID-19</t>
  </si>
  <si>
    <t>TULIA TERESA OÑATE MONTERO</t>
  </si>
  <si>
    <t>DISPENSADOR DE PEDAL PARA GEL ACERO INOXIDABLE</t>
  </si>
  <si>
    <t>CD 12 DE 2020</t>
  </si>
  <si>
    <t>ADQUISICIÓN E INSTALACIÓN DE LAVAMANOS EN ACERO INOXIDABLE PARA FORTALECER LAS MEDIDAS DE PREVENCIÓN DE CONTAGIO CON COVID-19</t>
  </si>
  <si>
    <t>CARLOS ARTURO HERNANDEZ MARTINEZ</t>
  </si>
  <si>
    <t xml:space="preserve">LAVAMANOS EN ACERO INOXIDABLE C. 20 CON CONEXIÓN EXTERNA HIDRAULICA Y SANITARIA </t>
  </si>
  <si>
    <t>ADICION CD 07 DE 2020</t>
  </si>
  <si>
    <t>CD 13 DE 2020</t>
  </si>
  <si>
    <t>ADQUISICIÓN DE MATERIALES PARA DEMARCACIÓN DE ÁREAS DE DISTANCIAMIENTO SOCIAL, CON EL OBJETIVO DE FORTALECER LAS MEDIDAS DE PREVENCIÓN DE CONTAGIO CON COVID-19 EN TODAS LAS SEDES JUDICIALES DEL DEPARTAMENTO DE SUCRE.</t>
  </si>
  <si>
    <t>REINALDO ENRIQUE HERNANDEZ GOMEZ</t>
  </si>
  <si>
    <t>PINTURA TRÁFICO COLOR AMARILLO</t>
  </si>
  <si>
    <t>CINTA DE PELIGRO X 500 MTS</t>
  </si>
  <si>
    <t>ROLLO X 500 MTS</t>
  </si>
  <si>
    <t>CINTA ANTIDESLIZANTE X 5 MTS</t>
  </si>
  <si>
    <t>ROLLO X 5 MTS</t>
  </si>
  <si>
    <t>CD 14 DE 2020</t>
  </si>
  <si>
    <t>ADQUISICIÓN DE CÁMARAS WEB, MINI-PARLANTES Y LECTORES DE CÓDIGO DE BARRAS Y QR PARA COMPUTADORES, EN VIRTUD DE FORTALECER LAS HERRAMIENTAS TECNOLÓGICAS PARA LA PRESTACIÓN DEL SERVICIO DE JUSTICIA EN MEDIO DE LA EMERGENCIA SANITARIA OCASIONADA POR EL COVID-19</t>
  </si>
  <si>
    <t>CREAR DE COLOMBIA S.A.S.</t>
  </si>
  <si>
    <t>PARLANTES</t>
  </si>
  <si>
    <t>LECTORA CODIGO DE BARRAS</t>
  </si>
  <si>
    <t>OC 49099</t>
  </si>
  <si>
    <t>LA ADQUISICIÓN DE ELEMENTOS DE PROTECCIÓN PERSONAL E INSUMOS DE ASEO PARA PREVENIR LA PROPAGACIÓN DEL CORONAVIRUS COVID-19 EN LAS SEDES JUDICIALES DEL DEPARTAMENTO DE SUCRE</t>
  </si>
  <si>
    <t>CLAUDIA PATRICIA MURILLO</t>
  </si>
  <si>
    <t xml:space="preserve">TAPABOCAS DOBLE TELA LAVABLE </t>
  </si>
  <si>
    <t>OC 49117</t>
  </si>
  <si>
    <t xml:space="preserve">TAPABOCAS DESECHABLE </t>
  </si>
  <si>
    <t>OC 49291</t>
  </si>
  <si>
    <t>OC 49292</t>
  </si>
  <si>
    <t>OC 49884</t>
  </si>
  <si>
    <t>COMPRAVENTA DE INSUMOS PARA ATENDER EMERGENCIA SANITARIA OCASIONADA POR EL COVID-19 EN LAS SEDES JUDICIALES DEL DEPARTAMENTO DE SUCRE.</t>
  </si>
  <si>
    <t>TOALLAS DESECHABLES PARA MANOS EN Z</t>
  </si>
  <si>
    <t>OC 49899</t>
  </si>
  <si>
    <t>JABON LIQUIDO DISPENSADOR MANOS</t>
  </si>
  <si>
    <t>OC 50035</t>
  </si>
  <si>
    <t>COMPRAVENTA DE PROTECTORES FACIALES PARA ATENDER EMERGENCIA SANITARIA OCASIONADA POR EL COVID-19 EN LAS SEDES JUDICIALES DEL DEPARTAMENTO DE SUCRE</t>
  </si>
  <si>
    <t>OC 50278</t>
  </si>
  <si>
    <t>ADQUISICIÓN DE TERMÓMETROS INFRARROJOS SIN CONTACTO, PARA SER DISPUESTOS EN LAS SEDES JUDICIALES DEL DEPARTAMENTO DE SUCRE, EN VIRTUD DE MITIGAR EL RIESGO DE CONTAGIO CON EL COVID-19</t>
  </si>
  <si>
    <t>HB INTERNATIONAL CORP SOCIEDAD POR ACCIONES SIMPLIFICADA SAS</t>
  </si>
  <si>
    <t>TERMOMETRO INFRAROJO SIN CONTACTO</t>
  </si>
  <si>
    <t>OC 50303</t>
  </si>
  <si>
    <t>COMPRAVENTA DE CANECAS DE BIOSEGURIDAD PARA LAS SEDES JUDICIALES DEL DEPARTAMENTO DE SUCRE, CON EL FIN DE MITIGAR EL RIESGO DE CONTAGIO DEL COVID-19</t>
  </si>
  <si>
    <t>CANECAS PLASTICAS ROJAS DE PEDAL, TAMAÑO 20 LT</t>
  </si>
  <si>
    <t>OC 50492</t>
  </si>
  <si>
    <t>COMPRAVENTA DE ALCOHOL ISOPROPILICO AL 70% GEL PARA ATENDER EMERGENCIA SANITARIA OCASIONADA POR EL COVID-19 EN LAS SEDES JUDICIALES DEL DEPARTAMENTO DE SUCRE</t>
  </si>
  <si>
    <t>OC 51158</t>
  </si>
  <si>
    <t>COMPRAVENTA DE GUANTES DE NITRILO PARA ATENDER EMERGENCIA SANITARIA OCASIONADA POR EL COVID-19 EN LAS SEDES JUDICIALES DEL DEPARTAMENTO DE SUCRE</t>
  </si>
  <si>
    <t>OC 52370</t>
  </si>
  <si>
    <t>COMPRAVENTA DE ALCOHOL ANTISEPTICO AL 70% PARA ATENDER EMERGENCIA SANITARIA OCASIONADA POR EL COVID-19 EN LAS SEDES JUDICIALES DEL DEPARTAMENTO DE SUCRE</t>
  </si>
  <si>
    <t>COSMETICOS SAMY SA</t>
  </si>
  <si>
    <t>ADICION LP 01 DE 2019</t>
  </si>
  <si>
    <t>LA PRESTACIÓN DEL SERVICIO DE VIGILANCIA Y SEGURIDAD PRIVADA, CON DESTINO A LOS DIFERENTES DESPACHOS JUDICIALES Y SEDES ADMINISTRATIVAS A CARGO DE LA DIRECCIÓN EJECUTIVA SECCIONAL DE ADMINISTRACIÓN JUDICIAL DE SINCELEJO</t>
  </si>
  <si>
    <t>VIPERS LTDA</t>
  </si>
  <si>
    <t xml:space="preserve">PRESTACION SERVICIO DE VIGILANCIA CON TOMA DE TEMPERATURA, A TRAVES DE TERMOMETRO INFRARROJO EN 10 PUESTOS DE VIGILANCIA DE LAS DIFERENTES SEDES JUDICIALES DEL DPTO DE SUCRE </t>
  </si>
  <si>
    <t>ADICION LP 02 DE 2019</t>
  </si>
  <si>
    <t>EL SERVICIO DE ASEO Y MANTENIMIENTO BÁSICO, CON INSUMOS Y MAQUINARIA INCLUIDA, LIMPIEZA DE JARDINES Y EQUIPOS PARA LAS SEDES JUDICIALES QUE CONFORMAN EL DISTRITO JUDICIAL DE SINCELEJO</t>
  </si>
  <si>
    <t>DON ASEO LTDA</t>
  </si>
  <si>
    <t>ALCOHOL GLICERINADO AL 92%</t>
  </si>
  <si>
    <t>JABON LIQUIDO ANTIBACTERIAL</t>
  </si>
  <si>
    <t>VINAGRE BLANCO PARA REALIZAR LIMPIEZA DE PISOS</t>
  </si>
  <si>
    <t>VINAGRE</t>
  </si>
  <si>
    <t>BLANQUEADOR DESINFECTANTE LIQUIDO</t>
  </si>
  <si>
    <t>DETERGENTE EN POLVO</t>
  </si>
  <si>
    <t xml:space="preserve">TAPABOCAS DESECHABLES  </t>
  </si>
  <si>
    <t>TUNJA</t>
  </si>
  <si>
    <t xml:space="preserve">COMPRA DE TRAJES BIOMEDICOS Y GEL ANTIBACTERIAL </t>
  </si>
  <si>
    <t>TRAJES BIOMEDICOS CONTRA SALPICADIRAS Y PARTICULAS</t>
  </si>
  <si>
    <t xml:space="preserve">GEL ANTIBACTERIAL GLICERIADO, ALCOHOL GELA LA 65%, </t>
  </si>
  <si>
    <t xml:space="preserve">COMPRA DE GUANTES Y GEL ANTIBACTERIAL </t>
  </si>
  <si>
    <t xml:space="preserve">FUNDACION GENERACIONES DE PAZ </t>
  </si>
  <si>
    <t xml:space="preserve">GEL ANTIBACTERIAL EN PRESENTACION DE </t>
  </si>
  <si>
    <t>DISPENSADORES PLASTICOS CON GEL, EN PRESENTACION POR 500 MILILITROS</t>
  </si>
  <si>
    <t xml:space="preserve">COMPRA DE ALCOHOL ETÍLICO </t>
  </si>
  <si>
    <t xml:space="preserve">CONSORCIO LIDER 2019 </t>
  </si>
  <si>
    <t xml:space="preserve">ALCOHOL ANTISEPTICO AL 70% </t>
  </si>
  <si>
    <t>COMPRA DE 1254 PAQUETES DE TOALLAS DE PAPEL DESECHABLES POR 150 UNIDADES</t>
  </si>
  <si>
    <t>TOALLAS DE PAPEL DESECHABLES PARA MANOS EN PRESENTACION DE PAQUETE POR 150 UNIDADES</t>
  </si>
  <si>
    <t>COMPRA DE 4000 MASCARILLAS DE TELA LAVABLES</t>
  </si>
  <si>
    <t>COMERCILIZADORA ARTURO CALLE S.A.S</t>
  </si>
  <si>
    <t>MASCARILLA DE TELA LAVABLE HASTA 60 LAVADAS</t>
  </si>
  <si>
    <t>COMPRA DE 14 TERMOMETROS DIGITALES</t>
  </si>
  <si>
    <t>INTEGRATE SOLUCIONES DE ELECTRONICA Y SOFTWARE SAS</t>
  </si>
  <si>
    <t>TERMOMETRO INFRAROJO PARA MEDICION DE TEMPERATURA CORPORAL DE MAYOR SENSIBILIDAD ENTRE 5 Y 15 CENTIMETRO, PARA EVITAR EL CONTACTO ESTRECHO, MEDICION DE TEMPERATURA SOBRE SUPERFICIES</t>
  </si>
  <si>
    <t>CARGADOR Y BATERIAS RECARGABLES CON DURACION DE 1000 CICLOS, APROXIMADAMENTE 3 AÑOS</t>
  </si>
  <si>
    <t>COMPRA DE CIENTO VEINTE (120) BOTELLAS DE 750 ML Y OCHENTA (80) GALONES DE 3750 ML DE ALCOHOL ETÍLICO AL 70%</t>
  </si>
  <si>
    <t>ALCOHOL ANTISEPTICO AL 70%</t>
  </si>
  <si>
    <t>LA COMPRA DE CIENTO SESENTA Y TRES (163) CAJAS DE GUANTES DE NITRILO, POR 100 UNIDADES CADA UNA</t>
  </si>
  <si>
    <t xml:space="preserve">ADRIAN SUAREZ GARCIA </t>
  </si>
  <si>
    <t>GUANTES DE NITRILO EN PRESENTACION DE CAJA POR 100 UNIDADES</t>
  </si>
  <si>
    <t>LA COMPRA DE QUINCE (15) DISPENSADORES DE PEDAL EN ACERO INOXIDABLE</t>
  </si>
  <si>
    <t>ACCEVID S.A.S</t>
  </si>
  <si>
    <t>DISPENSADOR PARA GEL DE PEDAL EN ACERO ACERO INOXIDABLE PARA EMPOTRAR A LA PARED</t>
  </si>
  <si>
    <t xml:space="preserve">034  de 2020 </t>
  </si>
  <si>
    <t xml:space="preserve">LA COMPRA DE JABON ANTIBACTERIAL </t>
  </si>
  <si>
    <t>JABON DISPENSADOR PARA MANOS</t>
  </si>
  <si>
    <t>LA COMPRA DE MIL SEISCIENTAS (1600) CARETAS VISOR</t>
  </si>
  <si>
    <t>CARETAS VISORES - PROTECTOR FACIAL</t>
  </si>
  <si>
    <t>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t>
  </si>
  <si>
    <t>SANDRA MILENA BARRERA SALAMANCA</t>
  </si>
  <si>
    <t>PERSONAL DE APOYO VIGIAS DE SALUD PARA VELAR POR EL CUMPLIENTO DE PROTOCOLOS DE BIOSEGURIDAD (POR 5 MESES)</t>
  </si>
  <si>
    <t>LISETH JOHANNA SIERRA LOPEZ</t>
  </si>
  <si>
    <t xml:space="preserve">DAYANA FERNANDA CORREA SUESCUN </t>
  </si>
  <si>
    <t>ELIANA VIRGINIA SIERRA ORTEGON</t>
  </si>
  <si>
    <t>LUISA LILIANA PIAMONTE PULIDO</t>
  </si>
  <si>
    <t>LUISA FERNANDA GUIO DE LA FUENTE</t>
  </si>
  <si>
    <t>PAULA ANDREA MARTINEZ SANDOVAL</t>
  </si>
  <si>
    <t>ANA MIREYA GALLO FUENTES</t>
  </si>
  <si>
    <t>GENNY LIZETH ESPINOSA SAENZ</t>
  </si>
  <si>
    <t>DORA MERCEDES DAZA CORDOBA</t>
  </si>
  <si>
    <t>RICARDO DIAZ PINTO</t>
  </si>
  <si>
    <t>LEIDI FAVIOLA VARGAS QUIROGA</t>
  </si>
  <si>
    <t>YAZMIN ELIANA CASTILLO HERNANDEZ</t>
  </si>
  <si>
    <t>HORTENCIA JEJEN LEAL</t>
  </si>
  <si>
    <t>061 de 2020</t>
  </si>
  <si>
    <t>GEL ANTIBACTERIAL GLICERIADO, ALCOHOL GELA LA 65%</t>
  </si>
  <si>
    <t>NUBIA JASMIN GAUCHA BARRETO</t>
  </si>
  <si>
    <t>ECF ROSSI Y COMPAÑÍA SAS ALOE DEL RIO</t>
  </si>
  <si>
    <t>MASIVA SAS</t>
  </si>
  <si>
    <t>JAIRO MONTAÑEZ VEGA</t>
  </si>
  <si>
    <t>DIVISIONES O PANTALLAS EN CRISTAL GRID DE 60 POR 60</t>
  </si>
  <si>
    <t>DIVISIONES O PANTALLAS EN CRISTAL GRID DE 60 POR 90</t>
  </si>
  <si>
    <t xml:space="preserve">PROCTECH TECNOLOGIA EN PROTECCION SAS </t>
  </si>
  <si>
    <t>VALLEDUPAR</t>
  </si>
  <si>
    <t xml:space="preserve">CONTRATAR EN NOMBRE DE LA NACIÓN-CONSEJO SUPERIOR DE LA JUDICATURA - DIRECCIÓN EJECUTIVA SECCIONAL DE ADMINISTRACIÓN JUDICIAL DE VALLEDUPAR- LA ADQUISICIÓN DE TRAJES DE BIOSEGURIDAD PARA LA PREVENCIÓN DEL CONTAGIO DEL CORONAVIRUS COVID-19 </t>
  </si>
  <si>
    <t xml:space="preserve">TECHNICAL SOLUTIONS SAFETY S.A.S. </t>
  </si>
  <si>
    <t>TRAJE DE BIOSEGURIDAD: EN DISEÑO DE OVEROL CON
CAPUCHA, COLOR BLANCO. ELABORADO EN MATERIAL
POLIETILENO Y POLIPROPILENO, PERMEABLE, RESISTENTE A TODO
TIPO DE FLUIDOS.</t>
  </si>
  <si>
    <t>CONTRATAR EN NOMBRE DE LA NACIÓN - CONSEJO SUPERIOR DE LA JUDICATURA- DIRECCIÓN EJECUTIVA SECCIONAL DE ADMINISTRACIÓN JUDICIAL DE VALLEDUPAR, LA ADQUISICIÓN DE TAPA BOCAS DESECHABLES PARA LA PREVENCIÓN DEL CONTAGIO DEL CORONAVIRUS COVID-19</t>
  </si>
  <si>
    <t>SERVICIO DE REHABILITACIÓN &amp; SALUD OCUPACIONAL SAS – SERFIS SAS</t>
  </si>
  <si>
    <t xml:space="preserve">250 CAJAS DE TAPABOCAS  EN LA CIUDAD DE VALLEDUPAR Y 150 EN LA CIUDAD DE RIOHACHA DTC LA GUAJIRA, TAPA BOCAS DESECHABLES TRIPLE PROTECCIÓN CON REGISTRO INVIMA </t>
  </si>
  <si>
    <t>CONTRATAR EN NOMBRE DE LA NACIÓN - CONSEJO SUPERIOR DE LA JUDICATURA - DIRECCIÓN EJECUTIVA SECCIONAL DE ADMINISTRACIÓN JUDICIAL DE VALLEDUPAR, LA COMPRA DE GUANTES DESECHABLES PARA LA PREVENCIÓN DEL CONTAGIO DEL CORONAVIRUS COVID-19</t>
  </si>
  <si>
    <t>DISTRIBUIDORA MATERIAL DENTAL EL MOLAR Y/O GILMA RODRIGUEZ LÓPEZ</t>
  </si>
  <si>
    <t>GUANTES DESECHABLES DE LATEX AMBIDIESTROS, TALLA M</t>
  </si>
  <si>
    <t>CONTRATAR EN NOMBRE DE LA NACIÓN - CONSEJO SUPERIOR DE LA JUDICATURA - DIRECCIÓN EJECUTIVA SECCIONAL DE ADMINISTRACIÓN JUDICIAL DE VALLEDUPAR, LA COMPRA DE ALCOHOL ANTISEPTICO PARA LA PREVENCIÓN DEL CONTAGIO DEL CORONAVIRUS COVID-19</t>
  </si>
  <si>
    <t>GRUPO GAOS S.A.S</t>
  </si>
  <si>
    <t>ALCOHOL AL 70% ANTISÉPTICO PARA LA PREVENCIÓN DEL CONTAGIO DEL CORONAVIRUS COVID-19. !80 LITROS PARA LA SECCIONAL VALLEDUPAR Y 120 LITROS PARA LA OFICINA DE COORDINACIÓN ADMINISTRATIVA DE RIOHACHA( LA FUENTE DE INFORMACIÓN EL FORMATO DE ESTUDIOS PREVIOS)</t>
  </si>
  <si>
    <t>O.C. 47925</t>
  </si>
  <si>
    <t>ADQUISICIÓN DE ELEMENTOS DE ASEO (TOALLAS Y JABÓN PARA MANOS) PARA PREVENIR LA PROPAGACIÓN DEL COVID-19 EN EL DEPARTAMENTO DEL CESAR Y DEPARTAMENTO DE LA GUAJIRA</t>
  </si>
  <si>
    <t xml:space="preserve">TOALLAS PARA MANOS 4 CODIGO PA 60, (PAQUETE MÍNIMO DE 50 UNIDADES), DISTRIBUIDAS ASI: 850 PARA LA SECCIONAL VALLEDUPAR Y 460 PARA COORDINACIÓN ADMINISTRATIVA DE RIOHACHA.
</t>
  </si>
  <si>
    <t xml:space="preserve">JABÓN DISPENSADOR PARA MANOS 2 CÓDIGO PA 30, LÍQUIDO DISTRIBUIDOS ASÍ: 100 PARA LA SECCIONAL DE VALLEDUPAR Y 100 PARA COORDINACIÓN ADMINISTRATIVA DE RIOHACHA  </t>
  </si>
  <si>
    <t>O.C. 47926</t>
  </si>
  <si>
    <t>ADQUISICIÓN DE ELEMENTOS DE ASEO (GEL ANTIBACTERIAL) PARA PREVENIR LA PROPAGACIÓN DEL COVID-19 EN EL DEPARTAMENTO DEL CESAR Y DEPARTAMENTO DE LA GUAJIRA</t>
  </si>
  <si>
    <t>GEL ANTIBACTERIAL FCX1LT - ALCOHOLISOPROPILICO 70% EN GEL PARA ANTISEPSIA DE MANOS ALCOHOL ISOPROPILICO EN GEL PARA ANTISEPSIA DE MANOS, 70ML+2G/100ML</t>
  </si>
  <si>
    <t>O.C. 48153</t>
  </si>
  <si>
    <t xml:space="preserve">COMPRA TAPA BOCAS DESECHABLES PARA PREVENIR LA PROPAGACIÓN DEL COVID-19 EN EL DEPARTAMENTO DEL CESAR </t>
  </si>
  <si>
    <t xml:space="preserve">TAPA BOCAS, DESECHABLE, CON RESORTE A LA OREJA, DOBLE FILTRO, ADAPTADOR NASAL AJUSTABLE, CAJA POR 100 UNIDADES. </t>
  </si>
  <si>
    <t>O.C. 48437</t>
  </si>
  <si>
    <t>COMPRA TAPA BOCAS DESECHABLES PARA PREVENIR LA PROPAGACIÓN DEL COVID-19 EN EL DEPARTAMENTO DEL CESAR Y DEPARTAMENTO DE LA GUAJIRA</t>
  </si>
  <si>
    <t xml:space="preserve">TAPABOCAS DESECHABLE, CON RESORTE A LA OREJA , DOBLE FILTRO, ADAPTADOR NASAL AJUSTABLE, EN ALGODÓN.CANTIDAD DISTRIBUIDA ASÍ: VALLEDUPAR 500 CAJAS Y RIOHACHA  250 CAJAS </t>
  </si>
  <si>
    <t>O.C. 48445</t>
  </si>
  <si>
    <t>ADQUISICION DE ELEMENTOS DE ASEO (DESINFECTANTE A BASE DE CLORO) PARA PREVENIR LA PROPAGACIÓN DEL COVID-19 EN EL DEPARTAMENTO DEL CESAR Y DEPARTAMENTO DE LA GUAJIRA</t>
  </si>
  <si>
    <t>PRODUCTOS DE HIGIENE DOMÉSTICA CON PROPIEDAD DESINFECTANTE DE SUPERFICIE A BASE DE CLORO (EN ESPECIAL, FORMULADOS CON HIPOCLORITO DE SODIO). – GALÓN. CANTIDAD DISTRIBUIDA ASI: VALLEDUPAR 668 Y RIOHACHA  412</t>
  </si>
  <si>
    <t>O.C. 48447</t>
  </si>
  <si>
    <t xml:space="preserve">ADQUISICIÓN DE ELEMENTOS DE ASEO (GEL ANTIBACTERIAL) PARA PREVENIR LA PROPAGACIÓN DEL COVID-19 EN EL DEPARTAMENTO DEL CESAR </t>
  </si>
  <si>
    <t>GEL ANTIBACTERIAL FCX1LT – ALCOHOL ISOPROPILICO 70% EN GEL PARA ANTISEPSIA DE MANOS ALCOHOL ISOPROPILICO EN GEL PARA ANTISEPSIA DE MANOS, 70ML+2G/100ML</t>
  </si>
  <si>
    <t>O.C. 48448</t>
  </si>
  <si>
    <t xml:space="preserve">ADQUISICIÓN DE ELEMENTOS DE ASEO (JABÓN DISPENSADOR PARA MANOS) PARA PREVENIR LA PROPAGACIÓN DEL COVID-19 EN EL DEPARTAMENTO DEL CESAR </t>
  </si>
  <si>
    <t>PAPER BOX SAS</t>
  </si>
  <si>
    <t>JABÓN DISPENSADOR PARA MANOS 2 – LIQUIDO</t>
  </si>
  <si>
    <t>CONTRATAR EN NOMBRE DE LA NACIÓN -CONSEJO SUPERIOR DE LA JUDICATURA- DIRECCIÓN EJECUTIVA SECCIONAL DE ADMINISTRACIÓN JUDICIAL DE VALLEDUPAR LA COMPRA DE TERMÓMETROS Y OTROS ELEMENTOS PARA LA CONTENCIÓN DE LA PANDEMIA PRODUCIDA POR EL CORONAVIRUS COVID-19</t>
  </si>
  <si>
    <t xml:space="preserve">TERMÓMETROS INFRAROJO PARA  SECCIONAL DE VALLEDUPAR Y RIOHACHA </t>
  </si>
  <si>
    <t xml:space="preserve"> 57 CINTAS ADHESIVAS PARA LA SECCIONAL VALLEDUPAR Y LA COORDINACIÓN ADMINISTRATIVA DE RIOHACHA  48 MM 33 METROS LARGO</t>
  </si>
  <si>
    <t>ROLLO X 33 MTS</t>
  </si>
  <si>
    <t>O.C. 50427</t>
  </si>
  <si>
    <t xml:space="preserve">CONTRATAR LA ADQUISICIÓN DE CARETAS DE PROTECCIÓN PARA PREVENIR LA PROPAGACIÓN DEL COVID-19. </t>
  </si>
  <si>
    <t xml:space="preserve">PLASTICOS FENIX SAS </t>
  </si>
  <si>
    <t xml:space="preserve"> CARETAS VISORES (PROTECTOR FACIAL) - EPP-9 PARA SECCIONAL VALLEDUPAR Y COORDINACIÓN ADMINISTRATIVA DE RIOHACHA</t>
  </si>
  <si>
    <t xml:space="preserve">CONTRATAR  LA PRESTACIÓN DE SERVICIO DE APOYO A LA GESTIÓN PARA   ORIENTAR, VELAR Y HACER SEGUIMIENTO AL CUMPLIMIENTO DE LOS PROTOCOLOS DE BIOSEGURIDAD ESTABLECIDAS Y ASÍ MISMO, FORTALECER LAS MEDIDAS DE PREVENCIÓN DEL CONTAGIO Y PROPAGACIÓN DEL COVID – 19. </t>
  </si>
  <si>
    <t xml:space="preserve">SERVICIOS ESPECIALES PARA EMPRESAS S.A.S  (SESPEM) R/L JOSE ALBERTO HERAZO MOLINA </t>
  </si>
  <si>
    <t>CONTRATAR  15 AUXILIARES  ENCARGADAS DE LA TOMA DE TEMPERATURA CORPORAL, VERIFICACIÓN DE SÍNTOMAS, ADEMÁS DE VELAR POR EL CUMPLIMIENTO DE LOS PROTOCOLOS
DE BIOSEGURIDAD DEFINIDOS POR LA ENTIDAD, EN LAS SEDES DE MAYOR AFLUENCIA DEL DISTRITO JUDICIAL DEL DEPARTAMENTO DEL CESAR Y LA GUAJIRA. (3 MESES)</t>
  </si>
  <si>
    <t>O.C. 51437</t>
  </si>
  <si>
    <t xml:space="preserve">COMPRA DE CANECAS PARA RESIDUOS BIOLÓGICOS PARA LA CONTENCIÓN DEL VIRUS PROVOCADO POR EL COVID-19 EN LAS SEDES JUDICIALES ADSCRITAS A LA DIRECCIÓN EJECUTIVA SECCIONAL DE ADMINISTRACIÓN JUDICIAL DE VALLEDUPAR </t>
  </si>
  <si>
    <t>CANECAS 35 LT PEDAL</t>
  </si>
  <si>
    <t>O.C. 51556</t>
  </si>
  <si>
    <t>CONTRATAR LA COMPRA DE DISPENSADORES DE TOALLAS Y ATOMIZADORES PARA LAS SEDES JUDICIALES ADSCRITAS A LA DIRECCIÓN EJECUTIVA SECCIONAL DE ADMINISTRACIÓN JUDICIAL DE VALLEDUPAR, DENTRO DEL MARCO DE LA PANDEMIA PROVOCADA POR EL COVID-19.</t>
  </si>
  <si>
    <t xml:space="preserve">COLOMBIANA DE COMERCIO S.A Y/O ALKOSTO S.A </t>
  </si>
  <si>
    <t>DISPENSADOR DE TOALLAS EN ACERO INOXIDABLE</t>
  </si>
  <si>
    <t>- GUANTES DE NITRILO</t>
  </si>
  <si>
    <t>TAPABOCA TELA POLYESTER</t>
  </si>
  <si>
    <t xml:space="preserve">GLOBALK COLOMBIA SAS </t>
  </si>
  <si>
    <t xml:space="preserve">IMPOCOSER SAS </t>
  </si>
  <si>
    <t>TAPABOCA TELA POLYESTER ANTI FLUIDO</t>
  </si>
  <si>
    <t xml:space="preserve">DIADEMA INALÁMBRICA
BIAULAR SENCILLA - HEADSET
</t>
  </si>
  <si>
    <t xml:space="preserve">TOALLA PARA MANOS </t>
  </si>
  <si>
    <t xml:space="preserve"> GEL ANTIBACTERIAL</t>
  </si>
  <si>
    <t>TOALLAS PARA MANOS 3 - UNIDAD</t>
  </si>
  <si>
    <t>VILLAVICENCIO</t>
  </si>
  <si>
    <t>CO1.PCCNTR.1467008</t>
  </si>
  <si>
    <t>ADQUISICIÓN DE INSUMOS DE DESINFECCIÓN PARA ATENDER LA EMERGENCIA SANITARIA OCASIONADA POR EL COVID-19, CON DESTINO A LOS SERVIDORES JUDICIALES DEL DISTRITO JUDICIAL DE VILLAVICENCIO.</t>
  </si>
  <si>
    <t>SOLUCIONES CLEAN COLOMBIA S.A.S</t>
  </si>
  <si>
    <t>GEL ANTIBACTERIAL X 1000 MILILITROS</t>
  </si>
  <si>
    <t>ENVASE CON TAPA AZUL PUHS DE 250 MILILITROS</t>
  </si>
  <si>
    <t>CO1.PCCNTR.1472202</t>
  </si>
  <si>
    <t>ADQUISICIÒN DE TRAJES DE PROTECCIÒN CORPORAL Y GAFAS DE PROTECCIÒN.</t>
  </si>
  <si>
    <t>DISTRIDOTAR S.A.S</t>
  </si>
  <si>
    <t>TRAJES PROTECTORES DE ALTA DENSIDAD, TALLAS SURTIDAS</t>
  </si>
  <si>
    <t>GAFA PROTECTORA H019 CLARA</t>
  </si>
  <si>
    <t>CO1.PCCNTR.1518075</t>
  </si>
  <si>
    <t>ADQUISICIÓN DE TAPABOCAS</t>
  </si>
  <si>
    <t>COOESTATAL</t>
  </si>
  <si>
    <t>TAPABOCAS EN TELA QUIRÚRGICA EN TRES CAPAS, FILTRO MEDIO DE 15 GR, FILTRO INTERNO DE 30 GR, SISTEMA DE AJUSTE NASAL RECUBIERTO, ELÁSTICO DELGADO REDONDO.PAQUETE POR 50 UNIDADES</t>
  </si>
  <si>
    <t>O.C. 48432</t>
  </si>
  <si>
    <t xml:space="preserve"> LA ADQUISICIÓN DE ELEMENTOS DE PROTECCIÓN PERSONAL EPP Y ELEMENTOS DE ASEO PARA LOS SERVIDORES JUDICIALES DE LOS DISTRITOS JUDICIALES DE VILLAVICENCIO. EN LAS CARACTERÍSTICAS TÉCNICAS Y DE CALIDAD REQUERIDAS POR LA ENTIDAD.</t>
  </si>
  <si>
    <t>GEL ANTIBACTERIAL - FRASCO DE LITRO- PA18</t>
  </si>
  <si>
    <t>TOALLAS PARA MANOS  3- UNIDAD -PA 59</t>
  </si>
  <si>
    <t>O.C.48430</t>
  </si>
  <si>
    <t>M.A.S EMPRESARIAL SM SAS</t>
  </si>
  <si>
    <t>TAPABOCAS DOBLE TELA  LAVABLE -EPP-31 - CAJA POR 100 UNIDADES</t>
  </si>
  <si>
    <t>O.C. 48839</t>
  </si>
  <si>
    <t>LA ADQUISICIÓN DE ELEMENTOS DE PROTECCIÓN PERSONAL EPP - GUANTES PARA LOS SERVIDORES JUDICIALES DE LOS DISTRITOS JUDICIALES DE VILLAVICENCIO. EN LAS CARACTERÍSTICAS TÉCNICAS Y DE CALIDAD REQUERIDAS POR LA ENTIDAD</t>
  </si>
  <si>
    <t>OBIFEST S.A.S</t>
  </si>
  <si>
    <t>GUANTES DE NITRILO, CAJA POR 100 UNIDADES</t>
  </si>
  <si>
    <t>O.C. 48792</t>
  </si>
  <si>
    <t>LA ADQUISICIÓN DE BAYETILLAS PARA AYUDAR A LA CONTENCIÓN DEL COVID 19, CON DESTINO A LOS SERVIDORES JUDICIALES DE LOS DISTRITOS JUDICIALES DE VILLAVICENCIO. EN LAS CARACTERÍSTICAS TÉCNICAS Y DE CALIDAD REQUERIDAS POR LA ENTIDAD</t>
  </si>
  <si>
    <t>PANAMERICA LIBRERÍA Y PAPELERIA  S.A</t>
  </si>
  <si>
    <t>BAYETILLA ROJA 35 X 50 CMS</t>
  </si>
  <si>
    <t>BAYETILLA BLANCA 35 X 50 CMS</t>
  </si>
  <si>
    <t>CO1.PCCNTR. 1610602</t>
  </si>
  <si>
    <t>LA ADQUISICIÓN DE TERMÓMETROS INFRARROJOS Y DISPENSADORES EN GEL PARA LA CONTENCIÓN DEL COVID 19, CON DESTINO A LOS SERVIDORES JUDICIALES DEL DISTRITO JUDICIAL DE VILLAVICENCIO. EN LAS CARACTERÍSTICAS TÉCNICAS Y DE CALIDAD REQUERIDAS POR LA ENTIDAD</t>
  </si>
  <si>
    <t>ELECTROMUSICAL DEL LLANO SAS</t>
  </si>
  <si>
    <t xml:space="preserve">DISPENSADOR PARA GEL EN PLÁSTICO CON KIT DE INSTALACIÓN A LA PARED </t>
  </si>
  <si>
    <t>CO1.PCCNTR. 1610702</t>
  </si>
  <si>
    <t xml:space="preserve">ANALYTICA SAS </t>
  </si>
  <si>
    <t>TERMÓMETRO INFRAROJO</t>
  </si>
  <si>
    <t>O.C. 50837</t>
  </si>
  <si>
    <t>LA ADQUISICIÓN DE CANECAS ESPECIALES, CINTA</t>
  </si>
  <si>
    <t>ROLLOS DE CINTA DOBLE FASE GRANDE</t>
  </si>
  <si>
    <t>ROLLO X 50 MTS</t>
  </si>
  <si>
    <t>CANECA 35 LITROS ROJA TAPA PEDAL</t>
  </si>
  <si>
    <t>O.C. 50838</t>
  </si>
  <si>
    <t>ADHESIVA, BOLSAS PLÁSTICAS Y CINTA DE SEÑALIZACIÓN PARA AYUDAR A LA CONTENCIÓN DEL COVID-19, CON</t>
  </si>
  <si>
    <t>CINTA SEÑALIZACIÓN PELIGRO ROLLO X500MT</t>
  </si>
  <si>
    <t xml:space="preserve">BOLSA PLASTICA.A/D ROJA 50X60CM C/L </t>
  </si>
  <si>
    <t>O.C. 51024</t>
  </si>
  <si>
    <t>LA ADQUISICIÓN DE ELEMENTOS DE PROTECCIÓN PERSONAL   Y ELEMENTOS DE ASEO PARA AYUDAR A LA CONTENCIÓN DEL COVID 19 A TRAVÉS DEL INSTRUMENTO DE AGREGACION DE DEMADA COVDID 19, CON DESTINO A LOS SERVIDORES JUDICIALES DEL DISTRITO JUDICIAL DE VILLAVICENCIO. EN LAS CARACTERÍSTICAS TÉCNICAS Y DE CALIDAD REQUERIDAS POR LA ENTIDAD.</t>
  </si>
  <si>
    <t>ALCOHOL  FRASCO COV01-PA-1 -</t>
  </si>
  <si>
    <t>O.C. 51025</t>
  </si>
  <si>
    <t xml:space="preserve">CARETAS VISORES (PROTECTOR FACIAL) </t>
  </si>
  <si>
    <t>O.C. 51026</t>
  </si>
  <si>
    <t>O.C. 50978</t>
  </si>
  <si>
    <t>LA ADQUISICIÓN DE ELEMENTOS DE PROTECCIÓN PARA AYUDAR A LA CONTENCIÓN DEL COVID 19 A TRAVÉS DEL INSTRUMENTO DE AGREGACION DE DEMADA COVDID 19, CON DESTINO A LOS SERVIDORES JUDICIALES DEL DISTRITO JUDICIAL DE VILLAVICENCIO. EN LAS CARACTERÍSTICAS TÉCNICAS Y DE CALIDAD REQUERIDAS POR LA ENTIDAD.</t>
  </si>
  <si>
    <t>TABABOCAS DESECHABLES</t>
  </si>
  <si>
    <t>O.C. 52442</t>
  </si>
  <si>
    <t>ADQUISICIÓN DE CARETAS PARA AYUDAR A LA CONTENCIÓN DEL COVID 19, CON DESTINO A LOS SERVIDORES JUDICIALES DEL DISTRITO JUDICIAL DE VILLAVICENCIO. EN LAS CARACTERÍSTICAS TÉCNICAS Y DE CALIDAD REQUERIDAS POR LA ENTIDAD.</t>
  </si>
  <si>
    <t>TERMOMETROS INFRARROJOS DIGITALES</t>
  </si>
  <si>
    <t>ESCANNER</t>
  </si>
  <si>
    <t>ALQUILER COMPUTADOR PORTATIL POR DOS MESES</t>
  </si>
  <si>
    <t>ALQUILER COMPUTADOR PORTATIL POR TRES MESES</t>
  </si>
  <si>
    <t>ARRIENDO DE ESCANER POR DOS MESES</t>
  </si>
  <si>
    <t>PRESTACIÓN DEL SERVICIO DE VIGÍAS DE SALUD, CON EL FIN DE DAR CUMPLIMIENTO AL ACUERDO PCSJA20-11632 DEL 30 DE SEPTIEMBRE DE 2020, Y SUS DISPOSICIONES EN CUANTO A LA APLICACIÓN DE LOS PROTOCOLOS DE BIOSEGURIDAD, EN LAS SEDES DE MAYOR AFLUENCIA DE PERSONAS EN EL DISTRITO JUDICIAL DE ARMENIA Y ADMINISTRATIVO DEL QUINDÍO</t>
  </si>
  <si>
    <t>LA ADQUISICIÓN DE TAPABOCAS DESECHABLES PARA LOS SERVIDORES JUDICIALES DEL DISTRITO JUDICIAL DE ARMENIA Y ADMINISTRATIVO DEL QUINDÍO, PARA LA PREVENCIÓN DEL COVID-19</t>
  </si>
  <si>
    <t>LA ADQUISICIÓN DE TERMÓMETROS INFRARROJOS DE USO CORPORAL PARA LAPREVENCIÓN DEL COVID-19</t>
  </si>
  <si>
    <t>ADQUIRIR BATAS ANTIFLUIDO PARA EL PERSONAL ENCARGADO DEL MANEJO DE ARCHIVO DE LOS DESPACHOS</t>
  </si>
  <si>
    <t>ADQUIRIR BATAS ANTIFLUIDO PARA EL PERSONAL ENCARGADO DEL MANEJO DE ARCHIVO DE LOS DESPACHOS JUDICIALES, CENTROS DE SERVICIOS Y DEPENDENCIAS ADMINISTRATIVAS A CARGO DE LA DIRECCIÓN EJECUTIVA SECCIONAL DE ADMINISTRACIÓN JUDICIAL DE BOGOTÁ, CUNDINAMARCA Y AMAZONAS.</t>
  </si>
  <si>
    <t xml:space="preserve">ADQUISICION DE TAPETES DESINFECTANTES CON EL FIN DE SUPLIR LAS NECESIDADES QUE SE PRESENTEN EN LAS DIFERENTES SEDES ADMINISTRATIVAS Y DESPACHOS JUDICIALES A CARGO DE LA DIRECCIÓN EJECUTIVA SECCIONAL DE ADMINISTRACIÓN JUDICIAL BOGOTÁ - CUNDINAMARCA </t>
  </si>
  <si>
    <t>CONTRATAR EL ALQUILER E INSTALACIÓN EN SITIO DE COMPUTADORES PORTÁTILES CON LICENCIAMIENTO OFFICE ESTÁNDAR 2016, PARA EL TRABAJO EN CASA DE LOS EMPLEADOS Y FUNCIONARIOS DE LOS DESPACHOS JUDICIALES Y DEPENDENCIAS ADMINISTRATIVAS A CARGO DE LA DIRECCIÓN EJECUTIVA SECCIONAL DE ADMINISTRACIÓN JUDICIAL DE BOGOTÁ- CUNDINAMARCA – AMAZONAS, A TRAVÉS DE LOS ACUERDOS MARCO DE PRECIOS DE COLOMBIA COMPRA EFICIENTE, TIENDA VIRTUAL DEL ESTADO COLOMBIANO.</t>
  </si>
  <si>
    <t>CONTRATAR LA ADQUISICIÓN DE ALCOHOL ISOPROPILICO 70% EN GEL PARA ANTISEPSIA DE MANOS Y DISPENSADOR PLÁSTICO CON DOSIFICADOR TIPO VÁLVULA PARA LOS DISPENSADORES DE GEL DE ACTIVACIÓN CON PEDAL, CON DESTINO A LOS DESPACHOS JUDICIALES Y SEDES ADMINISTRATIVAS DE LA CIUDAD DE BOGOTÁ D.C., A CARGO DE LA DIRECCIÓN EJECUTIVA SECCIONAL DE ADMINISTRACIÓN JUDICIAL BOGOTÁ – CUNDINAMARCA, A TRAVÉS DEL INSTRUMENTO DE AGREGACIÓN DE DEMANDA DE COLOMBIA COMPRA EFICIENTE, TIENDA VIRTUAL DEL ESTADO COLOMBIANO.</t>
  </si>
  <si>
    <t>DISPENSADOR DE GEL ANTIBACTERIAL</t>
  </si>
  <si>
    <t>CONTRATAR LA ADQUISICIÓN DE TAPABOCAS DESECHABLES PARA EMPLEADOS Y FUNCIONARIOS DE LOS DESPACHOS JUDICIALES Y SEDES ADMINISTRATIVAS UBICADAS EN LA CIUDAD DE BOGOTÁ D.C., EN EL DEPARTAMENTO DE CUNDINAMARCA, LETICIA Y PTO NARIÑO AMAZONAS, A CARGO DE LA DIRECCIÓN EJECUTIVA SECCIONAL DE ADMINISTRACIÓN JUDICIAL - DESAJ, A TRAVÉS DEL INSTRUMENTO DE AGREGACIÓN DE DEMANDA DE COLOMBIA COMPRA EFICIENTE, TIENDA VIRTUAL DEL ESTADO COLOMBIANO.</t>
  </si>
  <si>
    <t>ALQUILAR COMPUTADORES PORTÁTILES CON LICENCIAMIENTO OFFICE ESTÁNDAR 2016, PARA EL TRABAJO EN CASA DE LOS EMPLEADOS DE LA DIRECCIÓN EJECUTIVA SECCIONAL DE ADMINISTRACIÓN JUDICIAL DE BOGOTÁ – CUNDINAMARCA – AMAZONAS</t>
  </si>
  <si>
    <t>CONTRATAR LA ADQUISICIÓN DE ALCOHOL EN PRESENTACIÓN GALÓN PARA LIMPIEZA DE SUPERFICIES PARA LOS DESPACHOS JUDICIALES Y SEDES ADMINISTRATIVAS UBICADAS EN LA CIUDAD DE BOGOTÁ D.C., EN EL DEPARTAMENTO DE CUNDINAMARCA, LETICIA Y PTO NARIÑO AMAZONAS, A CARGO DE LA DIRECCIÓN EJECUTIVA SECCIONAL DE ADMINISTRACIÓN JUDICIAL - DESAJ, A TRAVÉS DEL INSTRUMENTO DE AGREGACIÓN DE DEMANDA DE COLOMBIA COMPRA EFICIENTE, TIENDA VIRTUAL DEL ESTADO COLOMBIANO.</t>
  </si>
  <si>
    <t>CONTRATAR LA ADQUISICIÓN DE ALCOHOL EN PRESENTACIÓN 750 ML PARA LIMPIEZA DE SUPERFICIES PARA LOS DESPACHOS JUDICIALES Y SEDES ADMINISTRATIVAS UBICADAS EN LA CIUDAD DE BOGOTÁ D.C., EN EL DEPARTAMENTO DE CUNDINAMARCA, LETICIA Y PTO NARIÑO AMAZONAS, A CARGO DE LA DIRECCIÓN EJECUTIVA SECCIONAL DE ADMINISTRACIÓN JUDICIAL - DESAJ, A TRAVÉS DEL INSTRUMENTO DE AGREGACIÓN DE DEMANDA DE COLOMBIA COMPRA EFICIENTE, TIENDA VIRTUAL DEL ESTADO COLOMBIANO.</t>
  </si>
  <si>
    <t>CONTRATAR LA ADQUISICIÓN DE FRASCO ATOMIZADOR EN PRESENTACIÓN 1000 ML PARA LIMPIEZA DE SUPERFICIES PARA LOS DESPACHOS JUDICIALES Y SEDES ADMINISTRATIVAS UBICADAS EN LA CIUDAD DE BOGOTÁ D.C., EN EL DEPARTAMENTO DE CUNDINAMARCA, LETICIA Y PTO NARIÑO AMAZONAS, A CARGO DE LA DIRECCIÓN EJECUTIVA SECCIONAL DE ADMINISTRACIÓN JUDICIAL - DESAJ, A TRAVÉS DEL INSTRUMENTO DE AGREGACIÓN DE DEMANDA DE COLOMBIA COMPRA EFICIENTE, TIENDA VIRTUAL DEL ESTADO COLOMBIANO.</t>
  </si>
  <si>
    <t>CONTRATAR LA ADQUISICIÓN DE TAPETES BIOCOMPONENTE PARA LOS DESPACHOS JUDICIALES Y SEDES ADMINISTRATIVAS UBICADAS EN LA CIUDAD DE BOGOTÁ D.C., EN EL DEPARTAMENTO DE CUNDINAMARCA, LETICIA Y PTO NARIÑO AMAZONAS, A CARGO DE LA DIRECCIÓN EJECUTIVA SECCIONAL DE ADMINISTRACIÓN JUDICIAL - DESAJ, A TRAVÉS DEL INSTRUMENTO DE AGREGACIÓN DE DEMANDA DE COLOMBIA COMPRA EFICIENTE, TIENDA VIRTUAL DEL ESTADO COLOMBIANO</t>
  </si>
  <si>
    <t>CONTRATAR LA ADQUISICIÓN DE CARETAS DE PROTECCIÓN FACIAL PARA LOS SERVIDORES DE LOS DESPACHOS JUDICIALES Y SEDES ADMINISTRATIVAS UBICADAS EN LA CIUDAD DE BOGOTÁ D.C., EN EL DEPARTAMENTO DE CUNDINAMARCA, LETICIA Y PTO NARIÑO AMAZONAS, A CARGO DE LA DIRECCIÓN EJECUTIVA SECCIONAL DE ADMINISTRACIÓN JUDICIAL - DESAJ, A TRAVÉS DEL INSTRUMENTO DE AGREGACIÓN DE DEMANDA DE COLOMBIA COMPRA EFICIENTE, TIENDA VIRTUAL DEL ESTADO COLOMBIANO.</t>
  </si>
  <si>
    <t>CONTRATAR LA ADQUISICIÓN DE CINTA ADHESIVA PARA DELIMITAR LAS ÁREAS SEGURAS DE LOS DESPACHOS JUDICIALES Y SEDES ADMINISTRATIVAS UBICADAS EN LA CIUDAD DE BOGOTÁ D.C., EN EL DEPARTAMENTO DE CUNDINAMARCA, LETICIA Y PTO NARIÑO AMAZONAS, A CARGO DE LA DIRECCIÓN EJECUTIVA SECCIONAL DE ADMINISTRACIÓN JUDICIAL - DESAJ, A TRAVÉS DEL INSTRUMENTO DE AGREGACIÓN DE DEMANDA DE COLOMBIA COMPRA EFICIENTE, TIENDA VIRTUAL DEL ESTADO COLOMBIANO.</t>
  </si>
  <si>
    <t>CONTRATAR LA ADQUISICIÓN DE TAPETES BIOCOMPONENTE PARA LOS DESPACHOS JUDICIALES Y SEDES ADMINISTRATIVAS UBICADAS EN LA CIUDAD DE BOGOTÁ D.C., EN EL DEPARTAMENTO DE CUNDINAMARCA, LETICIA Y PTO NARIÑO AMAZONAS, A CARGO DE LA DIRECCIÓN EJECUTIVA SECCIONAL DE ADMINISTRACIÓN JUDICIAL - DESAJ, A TRAVÉS DEL INSTRUMENTO DE AGREGACIÓN DE DEMANDA DE COLOMBIA COMPRA EFICIENTE, TIENDA VIRTUAL DEL ESTADO COLOMBIANO.</t>
  </si>
  <si>
    <t>CONTRATAR LA ADQUISICIÓN DE ALCOHOL ISOPROPILICO 70% EN GEL PARA ANTISEPSIA DE MANOS Y DISPENSADOR PLÁSTICO CON DOSIFICADOR TIPO VÁLVULA, CON DESTINO A LOS DESPACHOS JUDICIALES Y SEDES ADMINISTRATIVAS A CARGO DE LA DIRECCIÓN EJECUTIVA SECCIONAL DE ADMINISTRACIÓN JUDICIAL BOGOTÁ – CUNDINAMARCA, A TRAVÉS DEL INSTRUMENTO DE AGREGACIÓN DE DEMANDA DE COLOMBIA COMPRA EFICIENTE, TIENDA VIRTUAL DEL ESTADO COLOMBIANO.</t>
  </si>
  <si>
    <t>CONTRATAR LA ADQUISICIÓN DE CÁMARAS WEB PARA LOS DESPACHOS JUDICIALES A CARGO DE ESTA DIRECCIÓN EJECUTIVA SECCIONAL DE ADMINISTRACIÓN JUDICIAL BOGOTÁ-CUNDINAMARCA., A TRAVÉS DEL INSTRUMENTO DE AGREGACIÓN DE DEMANDA EMERGENCIA COVID- 19, DE LA AGENCIA NACIONAL DE CONTRATACIÓN PÚBLICA – COLOMBIA COMPRA EFICIENTE.</t>
  </si>
  <si>
    <t>CONTRATAR LA ADQUISICIÓN DE TERMÓMETROS INFRARROJOS DIGITALES DE MANO, DE ALTA PRECISIÓN, PARA LA MEDICIÓN DE LA TEMPERATURA CORPORAL, REQUERIDOS PARA REALIZAR EL CONTROL DE TEMPERATURA CORPORAL DE FUNCIONARIOS, EMPLEADO Y USUARIOS EN LOS PUNTOS DE INGRESO A LAS SEDES JUDICIALES Y ADMINISTRATIVAS A CARGO DE LA DIRECCIÓN EJECUTIVA SECCIONAL DE ADMINISTRACIÓN JUDICIAL BOGOTÁ, CUNDINAMARCA Y AMAZONAS, A TRAVÉS DEL INSTRUMENTO DE AGREGACIÓN DE DEMANDA DE COLOMBIA COMPRA EFICIENTE, TIENDA VIRTUAL DEL ESTADO COLOMBIANO.</t>
  </si>
  <si>
    <t>CONTRATAR LA ADQUISICIÓN DE TAPABOCAS DESECHABLES PARA EMPLEADOS Y FUNCIONARIOS DE LOS DESPACHOS JUDICIALES Y SEDES ADMINISTRATIVAS UBICADAS EN LA CIUDAD DE BOGOTÁ D.C., EN MUNICIPIOS DEL DEPARTAMENTO DE CUNDINAMARCA Y AMAZONAS, A CARGO DE LA DIRECCIÓN EJECUTIVA SECCIONAL DE ADMINISTRACIÓN JUDICIAL - DESAJ, A TRAVÉS DEL INSTRUMENTO DE AGREGACIÓN DE DEMANDA DE COLOMBIA COMPRA EFICIENTE, TIENDA VIRTUAL DEL ESTADO COLOMBIANO.</t>
  </si>
  <si>
    <t>CONTRATAR LA ADQUISICIÓN DE GUANTES DE NITRILO, CON DESTINO A LOS DESPACHOS JUDICIALES Y SEDES ADMINISTRATIVAS DE LA CIUDAD DE BOGOTÁ D.C., A CARGO DE LA DIRECCIÓN EJECUTIVA SECCIONAL DE ADMINISTRACIÓN JUDICIAL BOGOTÁ – CUNDINAMARCA, A TRAVÉS DEL INSTRUMENTO DE AGREGACIÓN DE DEMANDA DE COLOMBIA COMPRA EFICIENTE, TIENDA VIRTUAL DEL ESTADO COLOMBIANO.</t>
  </si>
  <si>
    <t>CONTRATAR LA ADQUISICIÓN DE TOALLAS DE PAPEL CON DESTINO A LOS DESPACHOS JUDICIALES Y SEDES ADMINISTRATIVAS DE LA CIUDAD DE BOGOTÁ D.C., A CARGO DE LA DIRECCIÓN EJECUTIVA SECCIONAL DE ADMINISTRACIÓN JUDICIAL BOGOTÁ – CUNDINAMARCA, A TRAVÉS DEL INSTRUMENTO DE AGREGACIÓN DE DEMANDA DE COLOMBIA COMPRA EFICIENTE, TIENDA VIRTUAL DEL ESTADO COLOMBIANO.</t>
  </si>
  <si>
    <t>ADQUISICIÓN E INSTALACIÓN DE VENTANERÍA EN ALUMINIO Y VIDRIO PARA PUNTOS DE ATENCIÓN, DIVISIONES MODULARES EN PUESTOS DE TRABAJO COMO MEDIDA PREVENTIVA ANTE EL RIESGO DE CONTAGIO POR COVID-19</t>
  </si>
  <si>
    <t>PRESTACIÓN DEL SERVICIO DE ALQUILER DE 53 EQUIPOS DE ESCÁNER CAMA PLANA DE 50PPM</t>
  </si>
  <si>
    <t>CONTRATAR EN NOMBRE DE LA NACIÓN – CONSEJO SUPERIOR DE JUDICATURA – DIRECCIÓN EJECUTIVA SECCIONAL DE ADMINISTRACIÓN JUDICIAL DE BUCARAMANGA, LA ADQUISICIÓN DE TAPABOCAS DESECHABLES Y GEL ANTIBACTERIAL, EN LAS CONDICIONES TÉCNICAS, DE CALIDAD Y CANTIDADES REQUERIDAS POR LA ENTIDAD.</t>
  </si>
  <si>
    <t>CONTRATAR EN NOMBRE DE LA NACIÓN – CONSEJO SUPERIOR DE JUDICATURA –DIRECCIÓN EJECUTIVA SECCIONAL DE ADMINISTRACIÓN JUDICIAL DE BUCARAMANGA, LA ADQUISICIÓN DE CÁMARAS WEB Y DIADEMAS, EN LAS CONDICIONES TÉCNICAS, DE CALIDAD Y CANTIDADES REQUERIDAS POR LA ENTIDAD, DESTINADAS A LOS DIFERENTES DESPACHOS JUDICIALES Y OFICINAS ADMINISTRATIVAS DE LA SECCIONAL SANTANDER</t>
  </si>
  <si>
    <t>CONTRATAR EN NOMBRE DE LA NACIÓN - CONSEJO SUPERIOR DE LA JUDICATURA - DIRECCIÓN EJECUTIVA SECCIONAL DE ADMINISTRACIÓN JUDICIAL DE BUCARAMANGA LA ADQUISICIÓN E INSTALACIÓN DE ESCÁNERES CON EL FIN DOTAR DE ESTE ELEMENTO TECNOLÓGICO A DESPACHOS JUDICIALES Y ADMINISTRATIVOS DE LA RAMA JUDICIAL SECCIONAL DE ADMINISTRACIÓN JUDICIAL BUCARAMANGA.</t>
  </si>
  <si>
    <t>CONTRATAR EN NOMBRE DE LA NACIÓN – CONSEJO SUPERIOR DE JUDICATURA – DIRECCIÓN EJECUTIVA SECCIONAL DE ADMINISTRACIÓN JUDICIAL DE BUCARAMANGA, LA ADQUISICIÓN DE  GEL ANTIBACTERIAL, EN LAS CONDICIONES TÉCNICAS, DE CALIDAD Y CANTIDADES REQUERIDAS POR LA ENTIDAD.</t>
  </si>
  <si>
    <t>CONTRATAR EN NOMBRE DE LA NACIÓN – CONSEJO SUPERIOR DE LA JUDICATURA EL SUMINISTRO DE GEL ANTIBACTERIAL, PARA LOS EMPLEADOS DE LOS DIFERENTES DESPACHOS JUDICIALES Y OFICINAS ADMINISTRATIVAS A CARGO DE LA DIRECCIÓN SECCIONAL DE ADMINISTRACIÓN JUDICIAL DE CARTAGENA</t>
  </si>
  <si>
    <t>CONTRATAR EN NOMBRE DE LA NACIÓN – CONSEJO SUPERIOR DE LA JUDICATURA EL SUMINISTRO DE CARETAS ANTIFLUIDOS PARA LOS EMPLEADOS DE LOS DIFERENTES DESPACHOS JUDICIALES Y OFICINAS ADMINISTRATIVAS A CARGO DE LA DIRECCIÓN SECCIONAL DE ADMINISTRACIÓN JUDICIAL DE CARTAGENA</t>
  </si>
  <si>
    <t> SERVICIO DE SUMINISTRO DE TAPABOCAS DE TELA PARA LOS DIFERENTES DESPACHOS JUDICIALES Y OFICINAS ADMINISTRATIVAS A CARGO DE LA DIRECCIÓN SECCIONAL DE ADMINISTRACIÓN JUDICIAL DE CARTAGENA</t>
  </si>
  <si>
    <t>CONTRATAR EN NOMBRE DE LA NACIÓN - CONSEJO SUPERIOR DE LA JUDICATURA - DIRECCIÓN SECCIONAL DE ADMINISTRACIÓN JUDICIAL DE CARTAGENA, LA ADQUISICIÓN DE MÁQUINA DE DESINFECCIÓN ESPALDA CAÑÓN SR-420.</t>
  </si>
  <si>
    <t xml:space="preserve"> LA PRESTACIÓN DEL SERVICIO DE DIECIOCHO (18) VIGÍAS DE LA SALUD A FIN DE QUE DESARROLLEN LAS FUNCIONES DE QUE TRATA EL ART 18 DEL ACUERDO PCSJA20-11567 EN LAS SEDES DE ESTA DIRECCIÓN SECCIONAL DE ADMINISTRACIÓN JUDICIAL, INCLUIDO LA TOMA DE TEMPERATURA, PARA LA PREVENCIÓN DEL CONTAGIO Y PROPAGACIÓN DEL COVID-19; EN LAS CONDICIONES TÉCNICAS DE CALIDAD Y CANTIDAD ESTABLECIDAS POR EL CONSEJO SUPERIOR DE LA JUDICATURA.</t>
  </si>
  <si>
    <t>EL SUMINISTRO DE UNA CARPA EN LONA (117,3 MTS^2 , ASEGURAMIENTO, PINTURA, Y PROTOCOLO DE BIOSEGURIDAD), Y SU CORRESPONDIENTE INSTALACIÓN EN EL PALACIO DE JUSTICIA DE CÚCUTA, PARA ACCESO DE PERSONAL Y PUBLICO SEGÚN EL PROTOCOLO DE INGRESO PARA LA PREVENCIÓN Y CONTENCIÓN DE LA PANDEMIA COVID19; EN LAS CONDICIONES TÉCNICAS DE CALIDAD Y CANTIDAD ESTABLECIDAS POR EL CONSEJO SUPERIOR DE LA JUDICATURA</t>
  </si>
  <si>
    <t>EL SUMINISTRO DE NOVENTA (90) CÁMARAS Y NOVENTA (90) DIADEMAS PARA COMPUTADOR, EN ATENCIÓN A LAS MEDIDAS DE PREVENCIÓN Y CONTENCIÓN DE LA PANDEMIA COVID19, PARA LAS AUDIENCIAS Y DILIGENCIAS VIRTUALES; EN LAS CONDICIONES TÉCNICAS DE CALIDAD Y CANTIDAD ESTABLECIDAS POR EL CONSEJO SUPERIOR DE LA JUDICATURA</t>
  </si>
  <si>
    <t>LA PRESTACIÓN DEL SERVICIO DE ALQUILER DE DIEZ (10) ESCÁNER PARA: LAS SEDES DE: OCAÑA (1), ARAUCA (4), JUZGADOS ADMINISTRATIVOS (1), JUZGADOS LABORALES (1), CÚCUTA (3), O SEGÚN LA NECESIDAD SUSCITADA, COMO UNA MEDIDA PROVISIONAL DEL PLAN DE DIGITALIZACIÓN DE EXPEDIENTES, EN ATENCIÓN A LAS MEDIDAS DE PREVENCIÓN Y CONTENCIÓN DE LA PANDEMIA COVID19.</t>
  </si>
  <si>
    <t>EL SUMINISTRO Y LA PRESTACIÓN DEL SERVICIO DE INSTALACIÓN DE CUARENTA Y TRES (43) PANTALLAS DE VIDRIO, CON EL PROPÓSITO DE FACILITAR EL AISLAMIENTO DE LOS USUARIOS DE LA JUSTICIA Y LOS SERVIDORES JUDICIALES, QUE AYUDE A DISMINUIR LA PROBABILIDAD DE CONTAMINACIÓN Y DE CREAR UNA BARRERA DE PROTECCIÓN PARA QUIENES ATIENDEN PÚBLICO, EN ATENCIÓN A LAS MEDIDAS DE PREVENCIÓN Y CONTENCIÓN DE LA PANDEMIA COVID19.</t>
  </si>
  <si>
    <t>REQUIERE EL SUMINISTRO DE 255 PULVERIZADORES DE BOMBAS ATOMIZADORAS ROCIADORAS ASPERSOR, PARA EFECTUAR LA DESINFECCIÓN MANUAL POR MEDIO DE ASPERSIÓN A TODOS LOS  DOCUMENTOS QUE INGRESEN A LOS DESPACHOS JUDICIALES, COMO MEDIDA DE PREVENCIÓN Y CONTENCIÓN CONTRA EL VIRUS ORIGINADO POR LA PANDEMIA COVID19</t>
  </si>
  <si>
    <t>PRESTACIÓN DEL SERVICIO DE ALQUILER DE POR EL TERMINO DE DOS (02) MESES, DE VEINTIÚN (21) ESCÁNER PARA LAS SEDES DE: OCAÑA (1), ARAUCA (4), JUZGADOS ADMINISTRATIVOS (2), JUZGADO LABORALES (1), JUZGADOS DE PENAS Y MEDIDAS (2), JUZGADOS DE FAMILIA (1), CESPA (1), JUZGADOS CIVILES MUNICIPALES (2), JUZGADOS CIVILES CIRCUITO (1), SALA DISCIPLINARIA (1), SALA LABORAL (1), TRIBUNAL ADMINISTRATIVO (1), SISTEMA PENAL ACUSATORIO (1), SALA PENAL (1), SALA CIVIL (1), EN ATENCIÓN A LAS MEDIDAS COVID19.</t>
  </si>
  <si>
    <t>EL SUMINISTRO Y LA PRESTACIÓN DEL SERVICIO DE INSTALACIÓN DE OCHENTA Y SIETE (87) PANTALLAS DE VIDRIO Y TRES (03) JUEGOS DE PUERTAS, CON EL PROPÓSITO DE FACILITAR EL AISLAMIENTO DE LOS USUARIOS DE LA JUSTICIA Y LOS SERVIDORES JUDICIALES QUE UTILIZAN LAS SALAS DE AUDIENCIA, CON EL PROPÓSITO DE AYUDAR A DISMINUIR LA PROBABILIDAD DE CONTAMINACIÓN Y DE CREAR UNA
BARRERA DE PROTECCIÓN, EN ATENCIÓN A LAS MEDIDAS DE PREVENCIÓN Y CONTENCIÓN DE LA PANDEMIA COVID19;</t>
  </si>
  <si>
    <t>CONTRATAR EN NOMBRE DE LA NACIÓN – CSJ-DSAJ, LA ADQUISICIÓN DE ELEMENTOS DE PROTECCIÓN PERSONAL, LIMPIEZA Y DESINFECCIÓN, PARA PREVENIR EL CONTAGIO Y EVITAR LA PROPAGACIÓN DE LA ENFERMEDAD CORONAVIRUS COVID-19</t>
  </si>
  <si>
    <t>SUMINISTRO DE BUZONES DE SUGERENCIAS PARA ALGUNAS SEDES JUDICIALES DEL DISTRITO</t>
  </si>
  <si>
    <t>SUMINISTRO DE PANTALLAS DE ACRÍLICO CON EL PROPÓSITO DE FACILITAR EL AISLAMIENTO DE LOS USUARIOS DE LA JUSTICIA Y LOS SERVIDORES JUDICIALES DEL DISTRITO.</t>
  </si>
  <si>
    <t>ADQUIRIR CÁMARAS WEB Y DIADEMAS PARA DESPACHOS JUDICIALES Y ADMINISTRATIVOS DE LA RAMA JUDICIAL SECCIONAL MANIZALES. - CALDAS.</t>
  </si>
  <si>
    <t>ADQUISICIÓN E INSTALACIÓN DE ESCÁNERES PARA DESPACHOS JUDICIALES Y ADMINISTRATIVOS DE LA DIRECCIÓN SECCIONAL DE ADMINISTRACIÓN JUDICIAL.</t>
  </si>
  <si>
    <t>SUMINISTRO DE TOALLAS DE PAPEL PARA MANOS PARA LA PROTECCIÓN PERSONAL Y PREVENCIÓN DE CONTAGIO DE COVID-19 EN LAS SEDES JUDICIALES DEL DISTRITO</t>
  </si>
  <si>
    <t>ADQUSICIÓN DE ESCÁNERES VERTICALES Y DE MANO LECTORES DE BARRAS PARA DESPACHOS JUDICIALES Y ADMINISTRATIVOS DE LA RAMA JUDICIAL SECCIONAL MANIZALES. - CALDAS.</t>
  </si>
  <si>
    <t>SUMINISTRO DE ELEMENTOS DE BIOSEGURIDAD, CON EL FIN DE PREVENIR EL CONTAGIO DEL COVID 19 EN EL DISTRITO JUDICIAL (GEL ANTIBACTERIAL).</t>
  </si>
  <si>
    <t>SUMINISTRO DE ELEMENTOS DE BIOSEGURIDAD, CON EL FIN DE PREVENIR EL CONTAGIO DEL COVID 19 EN EL DISTRITO JUDICIAL (PAPEL VINIPEL).</t>
  </si>
  <si>
    <t>SUMINISTRO DE ELEMENTOS DE BIOSEGURIDAD, CON EL FIN DE PREVENIR EL CONTAGIO DEL COVID 19 EN EL DISTRITO JUDICIAL (GUANTES NITRILO).</t>
  </si>
  <si>
    <t>SUMINISTRO DE ELEMENTOS DE BIOSEGURIDAD, CON EL FIN DE PREVENIR EL CONTAGIO DEL COVID 19 EN EL DISTRITO JUDICIAL (CARETAS - VISORES PROTECORES).</t>
  </si>
  <si>
    <t>SUMINISTRO DE ELEMENTOS DE BIOSEGURIDAD, CON EL FIN DE PREVENIR EL CONTAGIO DEL COVID 19 EN EL DISTRITO JUDICIAL (ALCOHOL).</t>
  </si>
  <si>
    <t xml:space="preserve">ADQUISICIÓN DE TAPABOCAS DESECHABLE, COMO PREVENCIÓN DEL CONTAGIO CON EL COVID19 (CORONAVIRUS), </t>
  </si>
  <si>
    <t>SERVICIO DE DESINFECCIÓN A PRECIO UNITARIO Y MONTO AGOTABLE DE LAS SEDES JUDICIALES DEL DISTRITO, COMO PREVENCIÓN DE CONTAGIO DE COVID-19</t>
  </si>
  <si>
    <t>ADQUISICIÓNDE TOALLAS DE PAPEL Y SUS DISPENSADORES COMO PREVENCIÓN DE CONTAGIO DE COVID-19.</t>
  </si>
  <si>
    <t>ADQUISICIÓN DE ALCOHOL, GEL ANTIBACTERIAL Y TOALLLAS DE PAPEL PARA MANOS, COMO PREVENCIÓN DE CONTAGIO DE COVID-19.</t>
  </si>
  <si>
    <t>ADQUISICIÓN DE DISPENSADORES PARA TOALLAS DE PAPEL PARA LAS SEDES JUDICIALES DEL DISTRITO, COMO PREVENCIÓN DE CONTAGIO DE COVID-19.</t>
  </si>
  <si>
    <t>ADQUISICIÓN DE GUANTES DE NITRILO PARA LOS SERVIDORES JUDICIALES DEL DISTRITO, COMO PREVENCIÓN DE CONTAGIO DE COVID-19.</t>
  </si>
  <si>
    <t>ADQUISICIÓN DE SENSORES DE TEMPERATURA COMO PREVENCIÓN DE CONTAGIO DE COVID-19.</t>
  </si>
  <si>
    <t>CONTRATAR  LA COMPRA DE ELEMENTOS DE PROTECCION PERSONAL Y ASEO TALES COMO BARRERA EN ACRILICO ANTIFLUIDO, Y LAVAMANOS PORTATILES DE PEDAL EN ACERO INOXIDABLE, INCLUYE GRIFERIA, CAPACIDAD PARA 25 LITROS DE AGUA, SOPORTE PARA DISPENSADOR DE JABON, PAPELERA Y SOPORTE PARA TOALLAS DESECHABLES PARA FORTALECER LA MEDIDAS DE PREVENCIÓN DEL CONTAGIO Y DE LA PROPAGACION DEL COVID -19</t>
  </si>
  <si>
    <t>CONTRATAR LA ADQUISICIÓN DE ELEMENTOS DE PROTECCIÓN COVID-19 (MONOGAFAS) A TRAVÉS DE LA TIENDA VIRTUAL DEL ESTADO COLOMBIANO</t>
  </si>
  <si>
    <t>CONTRATAR A TRAVÉS DE LA TIENDA VIRTUAL DEL ESTADO COLOMBIANOS, LA ADQUISICIÓN DE LAVAMANOS PORTÁTILES</t>
  </si>
  <si>
    <t>PROCESO DE CONTRATACIÓN DE COMPRA DE ELEMENTOS DE PROTECCION PERSONAL PARA LA PREVENCIÓN DEL COVID-19 - CARETAS. EN CUMPLIMIENTO DE NUESTRO PLAN DE COMPRAS Y DEL PROTOCOLO DE ACCESO A SEDES - MEDIDAS COMPLEMENTARIAS PARA PREVENCIÓN DEL CONTAGIO DEL COVID-19 EN LOS SERVIDORES JUDICIALES, CONTRATISTAS DE PRESTACIÓN DE SERVICIOS Y JUDICANTES.</t>
  </si>
  <si>
    <t>CONTRATAR EL SUMINISTRO DE ELEMENTOS DE PROTECCION PERSONAL PARA LA PREVENCIÓN DEL COVID-19 - ALCOHOL GLICERINADO EN CUMPLIMIENTO DE NUESTRO PLAN DE COMPRAS Y DEL PROTOCOLO DE ACCESO A SEDES - MEDIDAS COMPLEMENTARIAS PARA PREVENCIÓN DEL CONTAGIO DEL COVID-19 EN LOS SERVIDORES JUDICIALES, CONTRATISTAS DE PRESTACIÓN DE SERVICIOS Y JUDICANTES.</t>
  </si>
  <si>
    <t>CONTRATAR LA COMPRA DE BASESPARA DISPENSADORES DE GEL DESINFECTANTEY JABÓN LÍQUIDO PARA MANOS A TRAVÉS DELINSTRUMENTO DE AGREGACIÓN DE DEMANDA IADCOVID-19 DE LA TIENDA VIRTUAL DEL ESTADO COLOMBIANO PARA LA RAMA JUDICIAL DELDEPARTAMENTO DEL MAGDALENA EN EL MARCO DELDECRETO DE EMERGENCIA SANITARIA EMANADO DELGOBIERNO NACIONAL</t>
  </si>
  <si>
    <t>CONTRATAR LA COMPRA DE ELEMENTOSDE PROTECCIÓN PERSONAL EPP (CARETAS DE PROTECCIÓNFACIAL) A TRAVÉS DEL INSTRUMENTO DE AGREGACIÓN DEDEMANDA IAD COVID-19, PARA LA RAMA JUDICIAL DELDEPARTAMENTO DEL MAGDALENA EN EL MARCO DELDECRETO DE EMERGENCIA SANITARIA EMANADO DELGOBIERNO NACIONAL.”</t>
  </si>
  <si>
    <t>CONTRATAR LA COMPRA DE ELEMENTOSDE PROTECCIÓN PERSONAL EPP (GUANTES DE NITRILO) ATRAVÉS DEL INSTRUMENTO DE AGREGACIÓN DE DEMANDAIAD COVID-19, PARA LA RAMA JUDICIAL DELDEPARTAMENTO DEL MAGDALENA EN EL MARCO DELDECRETO DE EMERGENCIA SANITARIA EMANADO DELGOBIERNO NACIONAL</t>
  </si>
  <si>
    <t>CONTRATAR LA COMPRA DE PRODUCTOSDE ASEO (JABÓN LÍQUIDO PARA MANOS, GEL ALCOHOLISOPROPÍLICO, TOALLAS PARA MANOS, ) A TRAVÉS DELINSTRUMENTO DE AGREGACIÓN DE DEMANDA IADCOVID-19 PARA LA RAMA JUDICIAL DEL DEPARTAMENTODEL MAGDALENA EN EL MARCO DEL DECRETO DE EMERGENCIA SANITARIA EMANADO DEL GOBIERNONACIONAL.”</t>
  </si>
  <si>
    <t>CONTRATAR LA COMPRA DE PRODUCTOSDE ASEO (ALCOHOL ANTISÉPTICO) A TRAVÉS DELINSTRUMENTO DE AGREGACIÓN DE DEMANDA IADCOVID-19 PARA LA RAMA JUDICIAL DEL DEPARTAMENTODEL MAGDALENA EN EL MARCO DEL DECRETO DEEMERGENCIA SANITARIA EMANADO DEL GOBIERNONACIONAL</t>
  </si>
  <si>
    <t>CONTRATAR LA COMPRA DE PRODUCTOSDE ASEO ( LAVAMANOS) A TRAVÉS DEL INSTRUMENTO DEAGREGACIÓN DE DEMANDA IAD COVID-19 PARA LARAMA JUDICIAL DEL DEPARTAMENTO DEL MAGDALENA ENEL MARCO DEL DECRETO DE EMERGENCIA SANITARIAEMANADO DEL GOBIERNO NACIONAL</t>
  </si>
  <si>
    <t>CONTRATAR LA COMPRA DE PRODUCTOSDE ASEO (TAPETES DE DESINFECCIÓN) A TRAVÉS DEGRANDES SUPERFICIES PARA LA RAMA JUDICIAL DELDEPARTAMENTO DEL MAGDALENA EN EL MARCO DELDECRETO DE EMERGENCIA SANITARIA EMANADO DEL GOBIERNO NACIONAL</t>
  </si>
  <si>
    <t>CONTRATAR EN NOMBRE DE LA NACIÓN - CONSEJO SUPERIOR DE LA JUDICATURA – DIRECCIÓN EJECUTIVA SECCIONAL DE ADMINISTRACIÓN JUDICIAL DE TUNJA, LA COMPRA DE ELEMENTOS DE PROTECCIÓN PERSONAL PARA LA PREVENCIÓN DE LA COVID-19, COMO SON: GEL ANTIBACTERIAL, GUANTES DE NITRILO, JABÓN ANTIBACTERIAL, TAPABOCAS DESECHABLES, TOALLAS DE PAPEL Y ALCOHOL ANTISÉPTICO, CON DESTINO A SERVIDORES JUDICIALES, PASANTES Y CONTRATISTA DE PRESTACIÓN DE SERVICIOS, DE LOS DISTRITOS DE TUNJA, SANTA ROSA DE VITERBO Y YOPAL, CONSEJO SECCIONAL DE LA JUDICATURA DE BOYACÁ Y CASANARE, SALA DISCIPLINARIA, DIRECCIÓN EJECUTIVA SECCIONAL DE ADMINISTRACIÓN JUDICIAL DE TUNJA.</t>
  </si>
  <si>
    <t xml:space="preserve">CONTRATAR EN NOMBRE DE LA NACIÓN - CONSEJO SUPERIOR DE LA JUDICATURA – DIRECCIÓN EJECUTIVA SECCIONAL DE ADMINISTRACIÓN JUDICIAL DE TUNJA, LA COMPRA DE ELEMENTOS DE PROTECCIÓN PERSONAL, GUANTES DE NITRILO Y TAPABOCAS LAVABLES PARA LOS DISTRITOS DE SANTA ROSA DE VITERBO Y YOPAL </t>
  </si>
  <si>
    <t>CONTRATAR EN NOMBRE DE LA NACIÓN - CONSEJO SUPERIOR DE LA JUDICATURA – DIRECCIÓN EJECUTIVA SECCIONAL DE ADMINISTRACIÓN JUDICIAL DE TUNJA, LA COMPRA DE DIVISIONES O PANTALLAS EN CRISTAL GRID (ACRÍLICO RECUPERADO TRANSPARENTE TRASLUCIDO, INCLUIDO SOPORTES), ELEMENTOS DE PROTECCIÓN Y AISLAMIENTO PARA PREVENCIÓN DE LA COVID-19, CON DESTINO A SEDES JUDICIALES Y SALAS DE AUDIENCIAS DONDE SE PRESENTE INTERACCIÓN ENTRE SERVIDORES JUDICIALES Y PÚBLICO, DE LOS DISTRITOS DE TUNJA, SANTA ROSA DE VITERBO Y YOPAL, CONSEJO SECCIONAL DE LA JUDICATURA DE BOYACÁ Y CASANARE, SALA DISCIPLINARIA, DIRECCIÓN EJECUTIVA DE ADMINISTRACIÓN JUDICIAL DE TUNJA.</t>
  </si>
  <si>
    <t xml:space="preserve">CONTRATAR LA ADQUISICIÓN DE ALCOHOL PARA CONTENER LA PROPAGACIÓN DEL COVID-19 </t>
  </si>
  <si>
    <t>CONTRATAR LA ADQUISICIÓN DE GUANTES DE NITRILO PARA CONTENER LA PROPAGACIÓN DEL COVID-19</t>
  </si>
  <si>
    <t xml:space="preserve">CONTRATAR LA ADQUISICIÓN DE ELEMENTOS DE PROTECCIÓN PERSONAL PARA LA PREVENCIÓN DEL CONTAGIO DEL CORONAVIRUS COVID-19 (TAPABOCAS DE TELA LA GUAJIRA) </t>
  </si>
  <si>
    <t xml:space="preserve">CONTRATAR EN NOMBRE DE LA NACIÓN - CONSEJO SUPERIOR DE LA JUDICATURA - DIRECCIÓN EJECUTIVA SECCIONAL DE ADMINISTRACIÓN JUDICIAL DE VALLEDUPAR, LA ADQUISICIÓN DE ELEMENTOS DE PROTECCIÓN PERSONAL PARA LA PREVENCIÓN DEL CONTAGIO DEL CORONAVIRUS COVID-19 (GUANTES DE NITRILO) </t>
  </si>
  <si>
    <t xml:space="preserve">CONTRATAR EN NOMBRE DE LA NACIÓN - CONSEJO SUPERIOR DE LA JUDICATURA - DIRECCIÓN EJECUTIVA SECCIONAL DE ADMINISTRACIÓN JUDICIAL DE VALLEDUPAR, LA ADQUISICIÓN DE ELEMENTOS DE PROTECCIÓN PERSONAL PARA LA PREVENCIÓN DEL CONTAGIO DEL CORONAVIRUS COVID-19. </t>
  </si>
  <si>
    <t>CONTRATAR LA ADQUISICIÓN DE ELEMENTOS DE PROTECCIÓN PERSONAL PARA LA PREVENCIÓN DEL CONTAGIO DEL CORONAVIRUS COVID-19 (TAPABOCAS DESECHABLES LA GUAJIRA)</t>
  </si>
  <si>
    <t xml:space="preserve">CONTRATAR LA ADQUISICIÓN DE ELEMENTOS DE PROTECCIÓN PERSONAL PARA LA PREVENCIÓN DEL CONTAGIO DEL CORONAVIRUS COVID-19 (GUANTES LA GUAJIRA) </t>
  </si>
  <si>
    <t xml:space="preserve">CONTRATAR LA ADQUISICIÓN DE ELEMENTOS DE PROTECCIÓN PERSONAL PARA LA PREVENCIÓN DEL CONTAGIO DEL CORONAVIRUS COVID-19 (TAPABOCAS DE TELA) </t>
  </si>
  <si>
    <t xml:space="preserve">CONTRATAR EN NOMBRE DE LA NACIÓN - CONSEJO SUPERIOR DE LA JUDICATURA - DIRECCIÓN EJECUTIVA SECCIONAL DE ADMINISTRACIÓN JUDICIAL DE VALLEDUPAR LA COMPRA DE DIADEMAS PARA ALGUNOS DESPACHOS Y DEPENDENCIAS ADSCRITOS A LA DIRECCIÓN EJECUTIVA SECCIONAL DE ADMINISTRACIÓN JUDICIAL DE VALLEDUPAR. DIADEMAS LA GUAJIRA </t>
  </si>
  <si>
    <t xml:space="preserve">CONTRATAR EN NOMBRE DE LA NACIÓN - CONSEJO SUPERIOR DE LA JUDICATURA - DIRECCIÓN EJECUTIVA SECCIONAL DE ADMINISTRACIÓN JUDICIAL DE VALLEDUPAR LA COMPRA DE DIADEMAS PARA ALGUNOS DESPACHOS Y DEPENDENCIAS ADSCRITOS A LA DIRECCIÓN EJECUTIVA SECCIONAL DE ADMINISTRACIÓN JUDICIAL DE VALLEDUPAR. DIADEMAS CESAR </t>
  </si>
  <si>
    <t xml:space="preserve">CONTRATAR EN NOMBRE DE LA NACIÓN - CONSEJO SUPERIOR DE LA JUDICATURA - DIRECCIÓN EJECUTIVA SECCIONAL DE ADMINISTRACIÓN JUDICIAL DE VALLEDUPAR LA COMPRA DE CÁMARAS WEB Y DIADEMAS PARA ALGUNOS DESPACHOS Y DEPENDENCIAS ADSCRITOS A LA DIRECCIÓN EJECUTIVA SECCIONAL DE ADMINISTRACIÓN JUDICIAL DE VALLEDUPAR. CÁMARAS CESAR </t>
  </si>
  <si>
    <t>CONTRATAR EN NOMBRE DE LA NACIÓN - CONSEJO SUPERIOR DE LA JUDICATURA - DIRECCIÓN EJECUTIVA SECCIONAL DE ADMINISTRACIÓN JUDICIAL DE VALLEDUPAR LA COMPRA DE CÁMARAS WEB Y DIADEMAS PARA ALGUNOS DESPACHOS Y DEPENDENCIAS ADSCRITOS A LA DIRECCIÓN EJECUTIVA SECCIONAL DE ADMINISTRACIÓN JUDICIAL DE VALLEDUPAR. CÁMARAS LA GUAJIRA</t>
  </si>
  <si>
    <t>CONTRATAR EN NOMBRE DE LA NACIÓN - CONSEJO SUPERIOR DE LA JUDICATURA - DIRECCIÓN EJECUTIVA SECCIONAL DE ADMINISTRACIÓN JUDICIAL DE VALLEDUPAR LA ADQUISICIÓN DE ELEMENTOS DE ASEO PARA PREVENIR LA PROPAGACIÓN DEL CORONAVIRUS COVID-19 - TOALLAS Y GEL ANTIBACTERIAL VALLEDUPAR</t>
  </si>
  <si>
    <t xml:space="preserve">CONTRATAR EN NOMBRE DE LA NACIÓN - CONSEJO SUPERIOR DE LA JUDICATURA - DIRECCIÓN EJECUTIVA SECCIONAL DE ADMINISTRACIÓN JUDICIAL DE VALLEDUPAR LA ADQUISICIÓN DE ELEMENTOS DE ASEO PARA PREVENIR LA PROPAGACIÓN DEL CORONAVIRUS COVID-19 - ALCOHOL VALLEDUPAR </t>
  </si>
  <si>
    <t>CONTRATAR EN NOMBRE DE LA NACIÓN - CONSEJO SUPERIOR DE LA JUDICATURA - DIRECCIÓN EJECUTIVA SECCIONAL DE ADMINISTRACIÓN JUDICIAL DE VALLEDUPAR LA ADQUISICIÓN DE ELEMENTOS DE ASEO PARA PREVENIR LA PROPAGACIÓN DEL CORONAVIRUS COVID-19 . TOALLAS Y GEL ANTIBACTERIAL RIOHACHA</t>
  </si>
  <si>
    <t xml:space="preserve">CONTRATAR EN NOMBRE DE LA NACIÓN - CONSEJO SUPERIOR DE LA JUDICATURA - DIRECCIÓN EJECUTIVA SECCIONAL DE ADMINISTRACIÓN JUDICIAL DE VALLEDUPAR LA ADQUISICIÓN DE ELEMENTOS DE ASEO PARA PREVENIR LA PROPAGACIÓN DEL CORONAVIRUS COVID-19 - ALCOHOL RIOHACHA </t>
  </si>
  <si>
    <t>COMPUTADORES WIN 10 PRO 64 BITS3400 INTERMEDIA NA HDD + SSD 1 TB7200 RPM + 256 GB PCIE 8 GB, CON SERVICIO INSTALACIONSOFTWARE Y CONFIGURACION DEL ETP ETP, CON SERVICIO MIGRACION OTRANSFERENCIA DE DATOS GB POR ETP, CON ACCESORIO UNIDAD OPTICAEXTERNA UNIDAD, DVD/CD +/- R</t>
  </si>
  <si>
    <t xml:space="preserve"> BATAS ANTIFLUIDO</t>
  </si>
  <si>
    <t>TAPETES DESINFECTANTES</t>
  </si>
  <si>
    <t>ALCOHOL ISOPROPILICO 70% EN GEL PARA ANTISEPSIA DE MANOS Y DISPENSADOR PLÁSTICO CON DOSIFICADOR TIPO VÁLVULA PARA LOS DISPENSADORES DE GEL DE ACTIVACIÓN CON PEDAL,</t>
  </si>
  <si>
    <t>ALCOHOL EN PRESENTACIÓN GALÓN 3.750 ML</t>
  </si>
  <si>
    <t>ALCOHOL EN PRESENTACIÓN 750 ML</t>
  </si>
  <si>
    <t>FRASCO ATOMIZADOR EN PRESENTACIÓN 1000 ML</t>
  </si>
  <si>
    <t xml:space="preserve">TAPETES BIOCOMPONENTE </t>
  </si>
  <si>
    <t>TAPETES BIOCOMPONENTE</t>
  </si>
  <si>
    <t>CAMARAS PARA ESCRITORIO - LOGITECH C930E</t>
  </si>
  <si>
    <t>TERMÓMETROS INFRARROJOS DIGITALES DE MANO, DE ALTA PRECISIÓN, PARA LA MEDICIÓN DE LA TEMPERATURA CORPORAL</t>
  </si>
  <si>
    <t xml:space="preserve">IMPRESIÓN EN VINILO ADHESIVO LAMINADO CON FLOOR GRAPHIC 5CM X 1MT LINEAL </t>
  </si>
  <si>
    <t>ESCANER A4 CAMAPLANA MINIMO 10000 PAGINAS MINIMO 70PPMM ZONA 1</t>
  </si>
  <si>
    <t>ESCANER A4 CAMAPLANA MINIMO 10000 PAGINAS MINIMO 70PPMM  ZONA 2</t>
  </si>
  <si>
    <t xml:space="preserve">BATAS DE TRABAJO ARCHIVO, MANGA LARGA, COLOR BLANCO, DE LARGO 85CM, TALLAS M, L, XL. </t>
  </si>
  <si>
    <t>ADQUIRIR CÁMARAS WEB PARA DESPACHOS JUDICIALES Y ADMINISTRATIVOS DE LA RAMA JUDICIAL SECCIONAL MANIZALES. - CALDAS.</t>
  </si>
  <si>
    <t>ADQUIRIR DIADEMAS PARA DESPACHOS JUDICIALES Y ADMINISTRATIVOS DE LA RAMA JUDICIAL SECCIONAL MANIZALES. - CALDAS.</t>
  </si>
  <si>
    <t>SUMINISTRO DE TOALLAS DE PAPEL PARA MANOS, ROLLO HOJA DOBLE PRECORTADA ROLLO X 120 METROS. COLOR NATURAL</t>
  </si>
  <si>
    <t>ADQUSICIÓN E INSTALACIÓN DE ESCÁNERES VERTICALES PARA DESPACHOS JUDICIALES Y ADMINISTRATIVOS DE LA RAMA JUDICIAL SECCIONAL MANIZALES. - CALDAS.</t>
  </si>
  <si>
    <t>ADQUSICIÓNE INSTALACIÓN DE ESCÁNERES  DE MANO LECTORES DE BARRAS PARA DESPACHOS JUDICIALES Y ADMINISTRATIVOS DE LA RAMA JUDICIAL SECCIONAL MANIZALES. - CALDAS.</t>
  </si>
  <si>
    <t>SUMINISTRO DE GEL ANTIBACTERIAL POR LITRO, CON EL FIN DE PREVENIR EL CONTAGIO DEL COVID 19 EN EL DISTRITO JUDICIAL</t>
  </si>
  <si>
    <t>SUMINISTRO DE JABÓN DISPENSADOR PARA MANOS GALÓN X 3.785 CC, CON EL FIN DE PREVENIR EL CONTAGIO DEL COVID 19 EN EL DISTRITO JUDICIAL</t>
  </si>
  <si>
    <t xml:space="preserve">SUMINISTRO DE PAPEL VINIPEL EN ROLLO, CON EL FIN DE PREVENIR EL CONTAGIO DEL COVID 19 EN EL DISTRITO JUDICIAL </t>
  </si>
  <si>
    <t xml:space="preserve">SUMINISTRO DE GUANTES DE NITRILO, CON EL FIN DE PREVENIR EL CONTAGIO DEL COVID 19 EN EL DISTRITO JUDICIAL </t>
  </si>
  <si>
    <t xml:space="preserve">SUMINISTRO CARETAS - VISORES PROTECTORES, CON EL FIN DE PREVENIR EL CONTAGIO DEL COVID 19 EN EL DISTRITO JUDICIAL </t>
  </si>
  <si>
    <t>ALCOHOL ANTISÉPTICO DE USO EXTERNO AL 70%, BOTELLA POR X 750 CC</t>
  </si>
  <si>
    <t>SERVICIO DE DESINFECCIÓN MONTO AGOTABLE DE LAS SEDES JUDICIALES DEL DISTRITO, COMO PREVENCIÓN DE CONTAGIO DE COVID-19</t>
  </si>
  <si>
    <t>ROLLO CON LONGITUD MÍNIMA DE 100 METROS, DOBLE HOJA CON UN TAMAÑO MÍNIMO 15 CM DE ANCHO; DISPONIBLES EN COLOR NATURAL</t>
  </si>
  <si>
    <t>ADQUISICIÓN DISPENSADORES PARA TOALLAS DE PAPEL COMO PREVENCIÓN DE CONTAGIO DE COVID-19.</t>
  </si>
  <si>
    <t>ADQUISICIÓN DE GEL ANTIBACTERIAL COMO PREVENCIÓN DE CONTAGIO DE COVID-19.</t>
  </si>
  <si>
    <t>ELABORADO EN PLÁSTICO ABS, PARA TOALLAS DE PAPEL EN ROLLO DE 100 A 250 METROS PARA HALAR CON LA MANO, CON CERRADURA Y LLAVE; INCLUYE LOS ELEMENTOS NECESARIOS PARA REALIZAR LA INSTALACIÓN EN PARED</t>
  </si>
  <si>
    <t>GUANTE (NITRILO) TALLA M (DESECHABLES, HIPOALERGÉNICOS, NO ESTÉRILES, ALTA RESISTENCIA A LA ELONGACIÓN, LIBRE DE TALCO, AMBIDIESTROS, PUÑO CON REBORDE)</t>
  </si>
  <si>
    <t>GUANTE (NITRILO) TALLA L (DESECHABLES, HIPOALERGÉNICOS, NO ESTÉRILES, ALTA RESISTENCIA A LA ELONGACIÓN, LIBRE DE TALCO, AMBIDIESTROS, PUÑO CON REBORDE)</t>
  </si>
  <si>
    <t>TOALLAS DESECHAFLES (TOALLAS EN Z COLOR NATURAL) PQTE</t>
  </si>
  <si>
    <t>LAVAMANOS PORTATILES  (TOTALMENTE AUTONOMO, CON TANQUES DE ALMACENAMIENTO DE RESIDUOS Y MOBILIARIOS EN ACERO INOXIDABLE  EN CALIBRE 20 LAMINA 30, NO REQUIERE NINGUN TIPO DE CONEXIÓN NI ALCANTARILLADO, INLCUYE BOMBA DE PISO DE MANOS LIBRES DE FABRICACION INGLESA, TANQUES DE ALMACENAMIENTO DE AGUA RESIDUAL Y POTABLE, CADA UNO DE 20 LITROS)ALTO 90 CMS X ANCHO43CMS X FONDO43CMS</t>
  </si>
  <si>
    <t>DESINFECTANTE QUIRURGICO (SALES DE AMONIO CUATERNARIO (SOLUCION AL 80% AGUA- ALCOHOL): ALQUIL DIMETIL BENCIL CLORURO DE AMONIO, OCTIL, DECIL CLORURO DE AMONIO, DODECIL, DIMETIL CLORURO DE AMONIO Y DIOCTIL DIMETIL CLORURO DE AMONIO.</t>
  </si>
  <si>
    <t>GUANTES DE NITRILO M/L (DESECHABLES, HIPOALERGÉNICOS, NO ESTÉRILES, ALTA RESISTENCIA A LA ELONGACIÓN, LIBRE DE TALCO, AMBIDIESTROS, PUÑO CON REBORDE)</t>
  </si>
  <si>
    <t>TOALLAS INTERDOBLADAS  (DOBLE HOJA CON UN TAMAÑO MÍNIMO DE 20 CM DE LARGO POR 15 CM DE ANCHO (PAQUETE)</t>
  </si>
  <si>
    <t>GAFAS DE PROTECCION UNIDAD (UNILENTE DE PROTECCION TRANSPARENTE)</t>
  </si>
  <si>
    <t>TERMOMETRO DIGITAL PARED - INTELIGENTE ( SIN CONTACTO USO INSTITUCIONAL, MIDE LA TEMPERATURA SIN NECESIDAD DE SOSTENERLO, COLGADO EN CUALQUIER SUPERFICIE USANDO CINTA O UN SOPORTE. SIN NECESIDAD DE CONTACTO CON SUPERFICIES, EVITA INFECCIONES CRUZADAS, INCLUYE BATARIA DE LITIO Y CABLE CONECTOR DE USB DE ALIMENTACION  CONTIENE   MÉTODO DE MEDICIÓN: SIN CONTACTO CON LA FRENTE DEL TERMÓMETRO INFRARROJO ℃ Y ℉. ALARMA AUTOMÁTICA PARA TEMPERATURA ANORMAL: DESTELLOS DE LUZ ROJA, SONIDO DE ALARMA CONTINUA, DISTANCIA: 5 ~ 10 CM, EN ESPERA: 5S, PANTALLA DIGITAL, TEMPERATURA DE MEDICIÓN: 0 ~ 80 GRADOS ℃, TEMPERATURA AMBIENTE: 5 ~ 45 GRADOS ℃,  TIEMPO DE RESPUESTA: 500 MS . )</t>
  </si>
  <si>
    <t>GEL ANTIBACTERIAL FC X1LT (ALCOHOL ISOPROPILICO 70% EN GEL PARA ANTISEPSIA DE MANOS, ALCOHOL ISOPROPILICO EN GEL PARA ANTISEPSIA DE MANOS, 70ML+2G/100ML)</t>
  </si>
  <si>
    <t>DISPENSADOR DE TOALLAS DESECHAFLES INTERDOBLADAS  (DESCRIPCIÓN GENERAL: DISPENSADOR PARA COLOCAR PAPEL TOALLA INTERDOBLADA, BASE NEGRA Y TAPA NÍQUEL CON UN RANURA PARA OBSERVAR CONSUMO DE PAPEL. RECOMENDADO PARA LUGARES DE ALTA ROTACIÓN Y W.C. PÚBLICOS.  COMPONENTES Y MATERIALES:  - FABRICADO EN ABS TODOS LOS COMPONENTES - FABRICADO EN ABS LA TAPA CON RECUBRIMIENTO CON NÍQUEL-BARNIZ, - CERRADURA DE SEGURIDAD LÍNEA FUTURA  CACAIDAD : PARA MINIMO 150 TOALLAS)</t>
  </si>
  <si>
    <t>DISPENSADOR DE JABON DE 500 ML ; ES IDEAL PARA DOSIFICAR PRODUCTOS COMO JABON LIQUIDO CARACTERISTICAS DE PRODUCTO; FABRICADO EN POLIPROPILENO DE ALTO IMPACTO, RESISTENTE A LOS GOLPES, FACIL DE INSTALAR CON VALVULA ANTOGOTEO</t>
  </si>
  <si>
    <t>LAVAMANOS PORTATIL TOTALMENTE AUTONOMO ( CON TANQUES DE ALMACENAMIENTO DE RESIDUOS Y MOBILIARIO EN ACERO INOXIDABLE SCOTT 304 CALIBRE 24 CON ESTRUCTURA EN TUBO DE 1”. POZUELO REDONDO EN ACERO INOXIDABLE, GRIFERÍA EN ACERO INOXIDABLE. NO REQUIEREN NINGÚN TIPO DE CONEXIÓN NI ALCANTARILLADO. ADICIONALMENTE INCLUYE: DISPENSADOR DE JABÓN, DISPENSADOR DE TOALLAS ELABORADOS EN ABC.  EL LAVAMANOS INCLUYE: BOMBA DE PISO MANOS LIBRES, TANQUES DE ALMACENAMIENTO DE AGUA RESIDUAL Y POTABLE CADA UNO DE 30 LITROS.,
MEDIDAS: 90 CM DE ALTO X 43,5 CM ANCHO X 41.1 FONDO</t>
  </si>
  <si>
    <t>SOPORTE DISPENSADOR GEL ANTIBACTERIAL  (SOPORTE METALICO ACCIONADO CON PEDAL, ESPECIAL PARA CONTENER FRASCO DE 500ML, CON UN USO PUSH APLICA LA CANTIDAD ADEUCDA DE PRODUCTO. DISPENSADO DE ANTIMATERIAL PORTÁTIL EN TUBO ESTRUCTURA HR DE 1” MEDIDAS: 1.20 CM ALTO SOPORTE EN PISO TIPO H PEDAL EN LAMINA ALFAJOR MECANISMO CON SOPORTE DE ALTA PRESIÓN PINTURA ESMALTADA COLOR PLATA)</t>
  </si>
  <si>
    <t xml:space="preserve">TAPABOCAS 2 TELAS: PRIMERA CAPA: TELA ANTI FLUIDOS LAFAYETTE CLORORESISTENTE ANTIMICROBIAL COMPOSICIÓN: TELA 100% FILAMENTO DE POLIÉSTER.COLOR DISPONIBLE: BLANCO Y AZUL OSCURO.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SEGUNDA CAPA: TEJIDO PUNTO HYDROTECH ANTIBACTERIAL, CON ELÁSTICO DE 4MM. COMPOSICIÓN: TELA 100% FILAMENTO DE POLIÉSTER.  BASE PERTENECIENTE AL PROGRAMA DE ETIQUETAS  PROTECCIÓN SOLAR.  EXCELENTE STRETCH (ELONGACIÓN) MECÁNICO.  TECNOLOGÍA DESARROLLADA DESDE LA CONSTRUCCIÓN DEL HILO Y TEJEDURÍA, ABSORBE POR EL LADO DE CONTACTO CON LA PIEL, TRANSPORTA Y EVAPORA RÁPIDAMENTE LA HUMEDAD DEL CUERPO POR EL LADO EXTERIOR MANTENIENDO SECO Y CÓMODO.  TECNOLOGÍA: + TRANSPIRABILIDAD  TEJIDO TIPO MALLA CON PEQUEÑOS ORIFICIOS QUE PERMITEN LA RESPIRABILIDAD DE LA PRENDA </t>
  </si>
  <si>
    <t>BATA TIPO CIRUJANO TALLA S: A LA ALTURA DE LA RODILLA, TELA 100% POLIÉSTER ANTI FLUIDOS CLORO RESISTENTE ANTIMICROBIAL, MANGA LARGA, PUÑO AJUSTADO EN RESORTE, CUELLO REDONDO EN RESORTE, CIERRE DE 70CM DIENTES N°7, LOGO PARTE IZQUIERDA ESTAMPADO Y BORDADO. EMPAQUE INDIVIDUAL. COMPOSICIÓN TELA ANTI FLUIDOS: TELA 100% FILAMENTO DE POLIÉSTER. COMPOSICIÓN TELA ANTI FLUIDOS: TELA 100% FILAMENTO DE POLIÉSTER.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COMPOSICIÓN RESORTE: 65% POLIÉSTER 35% ALGODÓN.   COLOR BLANCO-POR UNIDAD</t>
  </si>
  <si>
    <t>BATA TIPO CIRUJANO TALLA M: A LA ALTURA DE LA RODILLA, TELA 100% POLIÉSTER ANTI FLUIDOS CLORO RESISTENTE ANTIMICROBIAL, MANGA LARGA, PUÑO AJUSTADO EN RESORTE, CUELLO REDONDO EN RESORTE, CIERRE DE 70CM DIENTES N°7, LOGO PARTE IZQUIERDA ESTAMPADO Y BORDADO. EMPAQUE INDIVIDUAL. COMPOSICIÓN TELA ANTI FLUIDOS: TELA 100% FILAMENTO DE POLIÉSTER. COMPOSICIÓN TELA ANTI FLUIDOS: TELA 100% FILAMENTO DE POLIÉSTER.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COMPOSICIÓN RESORTE: 65% POLIÉSTER 35% ALGODÓN.   COLOR BLANCO-POR UNIDAD</t>
  </si>
  <si>
    <t>BATA TIPO CIRUJANO TALLA L: A LA ALTURA DE LA RODILLA, TELA 100% POLIÉSTER ANTI FLUIDOS CLORO RESISTENTE ANTIMICROBIAL, MANGA LARGA, PUÑO AJUSTADO EN RESORTE, CUELLO REDONDO EN RESORTE, CIERRE DE 70CM DIENTES N°7, LOGO PARTE IZQUIERDA ESTAMPADO Y BORDADO. EMPAQUE INDIVIDUAL. COMPOSICIÓN TELA ANTI FLUIDOS: TELA 100% FILAMENTO DE POLIÉSTER. COMPOSICIÓN TELA ANTI FLUIDOS: TELA 100% FILAMENTO DE POLIÉSTER.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COMPOSICIÓN RESORTE: 65% POLIÉSTER 35% ALGODÓN.   COLOR BLANCO-POR UNIDAD</t>
  </si>
  <si>
    <t>BATA TIPO CIRUJANO TALLA XL; A LA ALTURA DE LA RODILLA, TELA 100% POLIÉSTER ANTI FLUIDOS CLORO RESISTENTE ANTIMICROBIAL, MANGA LARGA, PUÑO AJUSTADO EN RESORTE, CUELLO REDONDO EN RESORTE, CIERRE DE 70CM DIENTES N°7, LOGO PARTE IZQUIERDA ESTAMPADO Y BORDADO. EMPAQUE INDIVIDUAL. COMPOSICIÓN TELA ANTI FLUIDOS: TELA 100% FILAMENTO DE POLIÉSTER. COMPOSICIÓN TELA ANTI FLUIDOS: TELA 100% FILAMENTO DE POLIÉSTER.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COMPOSICIÓN RESORTE: 65% POLIÉSTER 35% ALGODÓN.   COLOR BLANCO-POR UNIDAD</t>
  </si>
  <si>
    <t>TAPABOCAS QUIRURGICO -DESECHABLE, CON RESORTE A LA OREJA , TRES CAPAS, ADAPTADOR NASAL AJUSTABLE, EN ALGODÓN;      DEBE TENER UNA ADECUADA PRESENTACIÓN PARA SU USO. SUS SUPERFICIES DEBEN TENER UN ASPECTO LIMPIO, SER UNIFORMES, TANTO EN COLOR COMO EN SU TEXTURA, LIBRES DE ASTILLAS, RUPTURAS, FISURAS U OTRAS IMPERFECCIONES LIBRE DE ASPEREZAS, ELEMENTOS ABRASIVOS O PEGAJOSOS. LOS CAUCHOS DEBEN TENER SUFICIENTE RESISTENCIA A LA FRICCIÓN PARA GARANTIZAR SU DURABILIDAD.     LOS MATERIALES Y DISEÑO DEL TAPABOCAS DEBEN GARANTIZAR LA COMPLETA PROTECCIÓN PARA IMPEDIR EL PASO DE PARTÍCULAS PERJUDICIALES PARA LA SALUD DE LOS HUMANOS. LOS MATERIALES CON QUE ESTÁ ELABORADA NO PUEDEN SER TÓXICOS A LOS SERES HUMANOS GARANTIZAR ALTOS NIVELES DE PROTECCIÓN, DURABILIDAD Y COMODIDAD.   MASCARILLA QUIRÚRGICA, NO TEJIDA MATERIAL FIELTRO, BLANDA DESECHABLE, CON BANDAS ELÁSTICAS PARA AJUSTE EN OREJAS, CLIP METÁLICO QUE PERMITE AJUSTARSE A LA NARIZ.    MEDIDAS APROXIMADAS: 175 MM × 95 MM X ± 2 MM  OTRAS: LAS PARTES DEL TAPABOCAS DEBEN ESTAR UNIDAS Y ASEGURADAS FIRMEMENTE. DE SU USO ADECUADO NO PUEDEN PRESENTARSE DESPRENDIMIENTOS, DESAJUSTES U OTRO TIPO DE DEFECTOS POR ENSAMBLE INADECUADO. PRESENTACION  CAJA  X 50 UNIDADES</t>
  </si>
  <si>
    <t xml:space="preserve">DETERGENTE DESINFECTANTE DESODORANTE FRASCO PARA LA LIMPIEZA Y LA DESINFECCION DE TODA SUPERFICIE LAVABLE  - FRASCO  X 1LT CON DOSIFICADOR  INTEGRADO : FABRICADO A BASE DE AMONIO CUATERNARIO DE ÚLTIMA GENERACIÓN, MÁS ALCOHOL, BACTERICIDA, FUNGICIDA Y VIRUSIDA MAS PERFUME, ACCIÓN EN 15 MINUTOS, NO REQUIERE ENJUAGUE.   DESINFECTANTE FORMULADO CON AMONIOS CUATERNARIOS DE QUINTA GENERACIÓN “SUPERQUAT”, EN UN RANGO DE CONCENTRACIÓN DE 8.5% - 9.5%;  PH (100%) 9-11 UNIDADES, DENSIDAD 0.92-1.02 G/ML, ÍNDICE DE REFRACCIÓN 1.350-1.370.  TOTALMENTE APTO PARA USO EN INDUSTRIA DE ALIMENTOS CON PROPIEDADES COMO TENSOACTIVO CATIÓNICO. SU DISEÑO ÚNICO Y NOVEDOSO HA SIDO CIENTÍFICAMENTE DESARROLLADO PARA LA LIMPIEZA Y LA DESINFECCIÓN DE SUPERFICIES (PISOS, PAREDES Y TECHOS). </t>
  </si>
  <si>
    <t>GEL ANTIBACTERIAL  - FC X1LT : ALCOHOL ISOPROPILICO 70% EN GEL PARA ANTISEPSIA DE MANOS, ALCOHOL ISOPROPILICO EN GEL PARA ANTISEPSIA DE MANOS, 70ML+2G/100ML</t>
  </si>
  <si>
    <t>JABÓN DISPENSADOR PARA MANOS 1 - LÍQUIDO, EN RECIPIENTE PLÁSTICO CON DISPENSADOR. CON AGENTE LIMPIADOR EN UNA CONCENTRACIÓN MÍNIMA DEL 6%,  CON AGENTE HUMECTANTE EN UNA CONCENTRACIÓN MÍNIMA DEL 3%, - PH ENTRE 5,5 A 7</t>
  </si>
  <si>
    <t>GUANTES DE NITRILO TALLAS M Y L (DESECHABLES, HIPOALERGÉNICOS, NO ESTÉRILES, ALTA RESISTENCIA A LA ELONGACIÓN, LIBRE DE TALCO, AMBIDIESTROS, PUÑO CON REBORDE.  CAJA X 100 UNIDADES)</t>
  </si>
  <si>
    <t>DISPENSADOR DE GEL TIPO 1 ( OPERADOR MECANICAMENTE POR MEDIO DE UN PEDAL LO QUE HACE QUE SE OPRIMA LA VALVULA DEL ENVASE DISPENSANDO EL PRODUCTO, CARACTERISTICAS:  SISTEMA DE PEDAL PARA DISPENSADOR DE ANTIBACTERIAL O ALCOHOL, CAPACIDAD DE UN LITRO, COLOR PLATA EN PINTURA DE POLIEURETANO BRILLANTE - ALTURA DE 0,90 MT X ANCHO DE 0.19 MT.</t>
  </si>
  <si>
    <t>KIT DE TAPETE DESINFECCION;(TAMAÑO 65CM X 55CM, MATERIAL EN ALUMINIO ESTRUCTURAL CON BORDES REDONDEADOS, CONSTA DE :  A) TAPETE DE SECADO. B) TAPETE HUMEDO, ESQUINERO EN POLIMERO, PEGANTE POLIURETANO SILICONA.  C) INLCUYE 40 ML EN 25% DE AMONIO CUATERNARIO PARA 4 LITROS DE AGUA.  RESISTIBLE AL AMONIO CUATERNARIO, ANTIDESLIZANTE.</t>
  </si>
  <si>
    <t>TERMOMETRO INFRAROJO ( MODELO -JXB-178) (MARCA BERRCON) CARACTERISTICAS ; PANTALLA DE RETROILUMINACIÓN LCD CON TRES COLORES, TAMAÑO: 155-100*40 MM (LXWXH) PESO ( SIN BATERIA): 105G COLOR BLANCO, RESOLUCIÓN DE PANTALLA DE TEMPERATURA: 01 C, CONSUMO &lt; 300 MW</t>
  </si>
  <si>
    <t>KIT DE TAPETES DESINFECTANTE (2 BANDEJAS, TAPETE HUMEDO Y SECO, Y UN GALON AMONIO CUATERNARIO X 3.800 M.L.)</t>
  </si>
  <si>
    <t xml:space="preserve">MONOGAFA PROTECCION ALTO RENDIMIENTO NORMA ANSI Z87.1-2010 Y  CSA Z94.3. </t>
  </si>
  <si>
    <t>DESINFECCION - DESRATIZACION SEDE DONDE FUNCIONAN JUZGADO PROMISCUO DE FAMILIA,  JUZGADO PROMISCUO DEL CIRCUITO,  JUZGADOS PRIMERO Y SEGUNDO PROMISCUO MUNICIPAL   DE  BARBACOAS</t>
  </si>
  <si>
    <t>DESINFECCION - DESRATIZACION SEDE DONDE FUNCIONAN JUZGADO PROMISCUO  DEL CIRCUITO,  JUZGADO PROMISCUO MUNICIPAL  LA CRUZ</t>
  </si>
  <si>
    <t>DESINFECCION - DESRATIZACION SEDE DONDE FUNCIONAN JUZGADO PROMISCUO   JUZGADO PROMISCUO DEL CIRCUITO,  JUZGADOS PRIMERO Y SEGUNDO PROMISCUO MUNICIPAL   DE SAMANIEGO</t>
  </si>
  <si>
    <t>DESINFECCION - DESRATIZACION SEDE JUZGADO PROMISCUO  DEL CIRCUITO,  JUZGADO PROMISCUO MUNICIPAL Y JUZGADO PROMISCUO DE FAMILIA DE SIBUNDOY</t>
  </si>
  <si>
    <t xml:space="preserve">SEÑAL EN POLIESTILENO CAL. 60 -  USO DE TAPABOCAS: MEDIDAS 40 CM (ANCHO) X 60 CM (LARGO) VERTICAL CON IMPRESIÓN DE VINILO AL ESPEJO - FULL COLOR Y CINTA DOBLE FAX. </t>
  </si>
  <si>
    <t xml:space="preserve">SEÑAL EN POLIESTILENO CAL. 60 -  GEL ANTIBACTERIAL: MEDIDAS 40 CM (ANCHO) X 60 CM (LARGO) VERTICAL CON IMPRESIÓN DE VINILO AL ESPEJO - FULL COLOR  Y CINTA DOBLE FAX. </t>
  </si>
  <si>
    <t xml:space="preserve">SEÑAL EN POLIESTILENO CAL. 60 - INGRESO A SEDES: MEDIDAS 80 CM (ANCHO) X 60 CM (LARGO) VERTICAL CON IMPRESIÓN DE VINILO AL ESPEJO - FULL COLOR  Y CINTA DOBLE FAX. </t>
  </si>
  <si>
    <t xml:space="preserve">SEÑAL EN POLIESTILENO CAL. 60 - LAVADO DE MANOS: MEDIDAS 40 CM (ANCHO) X 60 CM (LARGO) VERTICAL CON IMPRESIÓN DE VINILO AL ESPEJO - FULL COLOR Y CINTA DOBLE FAX. </t>
  </si>
  <si>
    <t xml:space="preserve">SEÑAL EN POLIESTILENO CAL. 60 -  MEDIDAS DE PREVENCION: MEDIDAS 40 CM (ANCHO) X 60 CM (LARGO) VERTICAL CON IMPRESIÓN DE VINILO AL ESPEJO - FULL COLOR Y CINTA DOBLE FAX. </t>
  </si>
  <si>
    <t>IMPRESIÓN VINILO LAMINADOFLOORGRAPHIC - FULL COLOR -  USO DE ASCENSORES MEDIDAS: 40 X 60 VERTICAL</t>
  </si>
  <si>
    <t>IMPRESIÓN VINILO LAMINADOFLOORGRAPHIC  - FULL COLOR - HUELLAS 35 CM DIAMETRO</t>
  </si>
  <si>
    <t>ELEMENTO DE BIOSEGURIDAD GUANTE NITILSAFE VERDE 13" 15MIL T 7</t>
  </si>
  <si>
    <t>ETC02--LOTE3-ETP ESCANER A4 CAMAPLANA MINIMO 10.000 PAGINAS MINIMO 70 PPM ZONA 2</t>
  </si>
  <si>
    <t>COV01-EPP-14 - GUANTES DE NITRILO</t>
  </si>
  <si>
    <t>COV01-TEC-13 - DIADEMA INAL MBRICA MONOURAL SENCILLA - POLY / LOGITECH</t>
  </si>
  <si>
    <t>GS-PILA RECARGABLE 9 VOL. NIMH 170 MAH COD: 8507216</t>
  </si>
  <si>
    <t>GS-CARGADOR P/PILAS AA-AAA-9 VOL + 4 PILAS. COD: 8507251</t>
  </si>
  <si>
    <t>COV01-EPP-31 - TAPABOCAS DOBLE TELA LAVABLE</t>
  </si>
  <si>
    <t>COV01-PA-60 - TOALLAS PARA MANOS 4 - UNIDAD</t>
  </si>
  <si>
    <t>COV01-PA-70 - LAVAMANOS PORTÁTIL AUTÓNOMO CON DISPENSADORES INCLUIDOS - UNIDAD</t>
  </si>
  <si>
    <t>COV01-EPP-34 - TRAJE DESECHABLE ANTIFLUIDO</t>
  </si>
  <si>
    <t>COV01-PA-14 - DETERGENTE DESINFECTANTE DESODORANTE FRASCO PARA LA LIMPIEZA Y LA DESINFECCIÓN DE TODA SUPERFICIE LAVABLE - FRASCO X 1LT CON DOSIFICADOR INTEGRADO</t>
  </si>
  <si>
    <t>COV01-PA-81 - PAÑO LIMPIEZA - UNIDAD</t>
  </si>
  <si>
    <t>COV01-PA-75 - FRASCO ATOMIZADOR 1 - UNIDAD</t>
  </si>
  <si>
    <t>COV01-PA-28 - JABÓN DISPENSADOR PARA MANOS 1 - LÍQUIDO, EN RECIPIENTE PLÁSTICO CON DISPENSADOR Y CAPACIDAD MÍNIMA DE 500 ML.</t>
  </si>
  <si>
    <t>COV01-EB-98 - TERMÓMETRO INFRAROJO</t>
  </si>
  <si>
    <t>GUANTE EXAMEN EN NITRILO CAJA X 100 T S COD: 900507087</t>
  </si>
  <si>
    <t>JABON LIQUIDO PARA MANOS 500ML</t>
  </si>
  <si>
    <t xml:space="preserve">WEBCAM - HDR, CAMPO VISUAL AJUSTABLE, ENFOQUE AUTOMÁTICO, ZOOM DIGITAL, GRAN PANORÁMICA, MICRÓFONO OMNIDIRECCIONAL, SENSOR DE INFRARROJO, CLIP UNIVERSAL, LENTE DE CRISTAL
</t>
  </si>
  <si>
    <t xml:space="preserve">MINI PARLANTES - SALIDA RMS DE 1.5 VATIOS, POTENCIA DE 3 VATIOS, ENERGÍA SUMINISTRADA POR PUERTO USB DEL PC, CONTROL DE VOLUMEN
</t>
  </si>
  <si>
    <t>LECTORA CODIGO DE BARRAS Y QR -TIPO IMAGEN LINEAL, LECTURA DE CÓDIGOS 1D/2D, CONEXIÓN USB O INALÁMBRICA, DISPARADOR MANUAL O  AUTOMÁTICO.
(CONTROL DE ACCESO SEDES JUDICIALES CON EL PROGRAMA ENKI)</t>
  </si>
  <si>
    <t>DESINFECTANTE A BASE DE CLORO - HIPOCLORITO GALON (200 GALONES)</t>
  </si>
  <si>
    <t>ATOMIZADORES 600 ML</t>
  </si>
  <si>
    <t>CAMARAS PARA ESCRITORIO - DIGITECH PRO</t>
  </si>
  <si>
    <t>CAMARAS PARA ESCRITORIO - DIGITECH PRO COV01-TEC-29 -</t>
  </si>
  <si>
    <t>BIDON - GALON</t>
  </si>
  <si>
    <t xml:space="preserve">JUNTA DEFENSA CIVIL BARRIO LA JOYA </t>
  </si>
  <si>
    <t xml:space="preserve"> GRUPO EMPRESARIAL CREAR DE COLOMBIA S.A.S.</t>
  </si>
  <si>
    <t xml:space="preserve">INSMEVET S DE C. </t>
  </si>
  <si>
    <t>NESTOR JAVIER GÓMEZ FRAGOZO Y/O SISTEMAS INTELIGENTES</t>
  </si>
  <si>
    <t xml:space="preserve">FABIAN PEREZ </t>
  </si>
  <si>
    <t>BATAS</t>
  </si>
  <si>
    <t>OPERARIO DE ASEO POR 3 MESES 7 DIAS</t>
  </si>
  <si>
    <t>PERSONAL DE APOYO VIGIAS DE SALUD PARA VELAR POR EL CUMPLIENTO DE PROTOCOLOS DE BIOSEGURIDAD (POR 133 DÍAS)</t>
  </si>
  <si>
    <t>PERSONAL DE APOYO VIGIAS DE SALUD PARA VELAR POR EL CUMPLIENTO DE PROTOCOLOS DE BIOSEGURIDAD (POR 124 DÍAS)</t>
  </si>
  <si>
    <t>PERSONAL DE APOYO VIGIAS DE SALUD PARA VELAR POR EL CUMPLIENTO DE PROTOCOLOS DE BIOSEGURIDAD (POR 92 DÍAS)</t>
  </si>
  <si>
    <t>PERSONAL DE APOYO VIGIAS DE SALUD PARA VELAR POR EL CUMPLIENTO DE PROTOCOLOS DE BIOSEGURIDAD (POR 104 DÍAS)</t>
  </si>
  <si>
    <t>PERSONAL DE APOYO VIGIAS DE SALUD PARA VELAR POR EL CUMPLIENTO DE PROTOCOLOS DE BIOSEGURIDAD (POR 86 DÍAS)</t>
  </si>
  <si>
    <t>PRESTACIÓN DE SERVICIOS DE PERSONAL DE APOYO A LA GESTIÓN CON VIGÍAS DE SALUD (POR 1 MES)</t>
  </si>
  <si>
    <t>PRESTACIÓN DE SERVICIOS DE PERSONAL DE APOYO A LA GESTIÓN CON VIGÍAS DE SALUD (2 MESES 18 DIAS)</t>
  </si>
  <si>
    <t>PRESTACIÓN DE SERVICIOS DE PERSONAL DE APOYO A LA GESTIÓN CON VIGÍAS DE SALUD (3 MESES)</t>
  </si>
  <si>
    <t>CT04-58-2020</t>
  </si>
  <si>
    <t>GAC MEDICINA ESPECIALIZADA</t>
  </si>
  <si>
    <t>VIGIAS DE LA SALUD (POR 2 MESES)</t>
  </si>
  <si>
    <t>900518044-3</t>
  </si>
  <si>
    <t xml:space="preserve">GUANTES </t>
  </si>
  <si>
    <t>JABON DISPENSADOR PARA MANOS GL</t>
  </si>
  <si>
    <t>GEL ANTIBACTERIAL GL</t>
  </si>
  <si>
    <t>ESCANNER CAMA PLANA 10000 PAGINAS</t>
  </si>
  <si>
    <t>ALQUILER SCANNER POR DOS MESES</t>
  </si>
  <si>
    <t>43 PANTALLAS  EN VIDRIO PROTECTORA PARA  DESPACHOS JUDICIALES</t>
  </si>
  <si>
    <t>ASPERSORES PULVERIZADORES</t>
  </si>
  <si>
    <t xml:space="preserve">ALQUILER DE SCANNER DOS MESES </t>
  </si>
  <si>
    <t>ADICION 12SER011-2020</t>
  </si>
  <si>
    <t>OC 61828</t>
  </si>
  <si>
    <t>DETERGENTE DESINFECTANTE FABRICADO A BASE DE AMONIO CUATERNARIO DE ÚLTIMA GENERACIÓN, X 750 ML</t>
  </si>
  <si>
    <t>OC 61875</t>
  </si>
  <si>
    <t>OC 61896</t>
  </si>
  <si>
    <t>TAPABOCAS TELA POLYESTER</t>
  </si>
  <si>
    <t>ORDEN DE COMPRA 18</t>
  </si>
  <si>
    <t>VISORES - CARETAS</t>
  </si>
  <si>
    <t>OC 61848</t>
  </si>
  <si>
    <t>PRESTACIÓN DEL SERVICIO DE PROMOCIÓN Y PREVENCIÓN DE LA SALUD, PARA EL CUMPLIMIENTO DEL PROTOCOLO DE BIOSEGURIDAD Y FORTALECIMIENTO LAS MEDIDAS DE PREVENCIÓN DEL CONTAGIO Y DE LA PROPAGACIÓN DEL COVID -19, EN LAS SEDES JUDICIALES</t>
  </si>
  <si>
    <t>ORDEN DE COMPRA 50861</t>
  </si>
  <si>
    <t>CONTRATO DE COMPRAVENTA NRO 5</t>
  </si>
  <si>
    <t>CONTRATO DE SUMININISTR NRO 7</t>
  </si>
  <si>
    <t>CONTRATO DE COMPRAVENTA NRO 8</t>
  </si>
  <si>
    <t>51487</t>
  </si>
  <si>
    <t>52416</t>
  </si>
  <si>
    <t>52439</t>
  </si>
  <si>
    <t>52492</t>
  </si>
  <si>
    <t>52560</t>
  </si>
  <si>
    <t>52574</t>
  </si>
  <si>
    <t>53248</t>
  </si>
  <si>
    <t>53441</t>
  </si>
  <si>
    <t>54919</t>
  </si>
  <si>
    <t>54987</t>
  </si>
  <si>
    <t>55664</t>
  </si>
  <si>
    <t>56014</t>
  </si>
  <si>
    <t>56024</t>
  </si>
  <si>
    <t>57278</t>
  </si>
  <si>
    <t>58060</t>
  </si>
  <si>
    <t>58219</t>
  </si>
  <si>
    <t>58220</t>
  </si>
  <si>
    <t>58221</t>
  </si>
  <si>
    <t>58227</t>
  </si>
  <si>
    <t>58361</t>
  </si>
  <si>
    <t>58238</t>
  </si>
  <si>
    <t>58476</t>
  </si>
  <si>
    <t>60422</t>
  </si>
  <si>
    <t>60423</t>
  </si>
  <si>
    <t>60729</t>
  </si>
  <si>
    <t>61082</t>
  </si>
  <si>
    <t>62413</t>
  </si>
  <si>
    <t>62415</t>
  </si>
  <si>
    <t>62416</t>
  </si>
  <si>
    <t>62417</t>
  </si>
  <si>
    <t>62778</t>
  </si>
  <si>
    <t>62779</t>
  </si>
  <si>
    <t>62780</t>
  </si>
  <si>
    <t>54390</t>
  </si>
  <si>
    <t>54666</t>
  </si>
  <si>
    <t>55430</t>
  </si>
  <si>
    <t>56653</t>
  </si>
  <si>
    <t>57000</t>
  </si>
  <si>
    <t>57149</t>
  </si>
  <si>
    <t>57002</t>
  </si>
  <si>
    <t>59777</t>
  </si>
  <si>
    <t>60036</t>
  </si>
  <si>
    <t>60627</t>
  </si>
  <si>
    <t>60629</t>
  </si>
  <si>
    <t>61960</t>
  </si>
  <si>
    <t>58658</t>
  </si>
  <si>
    <t>59659</t>
  </si>
  <si>
    <t>59450</t>
  </si>
  <si>
    <t>59448</t>
  </si>
  <si>
    <t>59449</t>
  </si>
  <si>
    <t>59452</t>
  </si>
  <si>
    <t>ORDEN DE COMPRA 48963</t>
  </si>
  <si>
    <t>ORDEN DE COMPRA 49475</t>
  </si>
  <si>
    <t>ORDEN DE COMPRA 49476</t>
  </si>
  <si>
    <t>ORDEN DE COMPRA 49600</t>
  </si>
  <si>
    <t>ORDEN DE COMPRA 49987</t>
  </si>
  <si>
    <t>ORDEN DE COMPRA 49988</t>
  </si>
  <si>
    <t>ORDEN DE COMPRA 49993</t>
  </si>
  <si>
    <t>ORDEN DE COMPRA 49994</t>
  </si>
  <si>
    <t>ORDEN DE COMPRA 49995</t>
  </si>
  <si>
    <t>ORDEN DE COMPRA 51280</t>
  </si>
  <si>
    <t>ORDEN DE COMPRA 52569</t>
  </si>
  <si>
    <t>ORDEN DE COMPRA 53183</t>
  </si>
  <si>
    <t>1483604</t>
  </si>
  <si>
    <t>1491804</t>
  </si>
  <si>
    <t>1547625</t>
  </si>
  <si>
    <t>1574446</t>
  </si>
  <si>
    <t>1619602</t>
  </si>
  <si>
    <t>1627319</t>
  </si>
  <si>
    <t>1642111</t>
  </si>
  <si>
    <t>1651630</t>
  </si>
  <si>
    <t>1839277</t>
  </si>
  <si>
    <t>1937118</t>
  </si>
  <si>
    <t>48786</t>
  </si>
  <si>
    <t>48800</t>
  </si>
  <si>
    <t>49008</t>
  </si>
  <si>
    <t>49046</t>
  </si>
  <si>
    <t>49009</t>
  </si>
  <si>
    <t>49355</t>
  </si>
  <si>
    <t>49450</t>
  </si>
  <si>
    <t>49645</t>
  </si>
  <si>
    <t>49646</t>
  </si>
  <si>
    <t>50705</t>
  </si>
  <si>
    <t>50897</t>
  </si>
  <si>
    <t>50981</t>
  </si>
  <si>
    <t>52480</t>
  </si>
  <si>
    <t>35</t>
  </si>
  <si>
    <t>57257</t>
  </si>
  <si>
    <t>58430</t>
  </si>
  <si>
    <t>58431</t>
  </si>
  <si>
    <t>59177</t>
  </si>
  <si>
    <t>59182</t>
  </si>
  <si>
    <t>59199</t>
  </si>
  <si>
    <t>61024</t>
  </si>
  <si>
    <t xml:space="preserve">007 DE 2020 </t>
  </si>
  <si>
    <t xml:space="preserve">009 DE 2020 </t>
  </si>
  <si>
    <t xml:space="preserve">016 DE 2020 </t>
  </si>
  <si>
    <t xml:space="preserve">020 DE 2020 </t>
  </si>
  <si>
    <t xml:space="preserve">024 DE 2020 </t>
  </si>
  <si>
    <t xml:space="preserve">025 DE 2020 </t>
  </si>
  <si>
    <t xml:space="preserve">029 DE 2020 </t>
  </si>
  <si>
    <t xml:space="preserve">032 DE 2020 </t>
  </si>
  <si>
    <t xml:space="preserve">033  DE 2020 </t>
  </si>
  <si>
    <t xml:space="preserve">034  DE 2020 </t>
  </si>
  <si>
    <t xml:space="preserve">035  DE 2020 </t>
  </si>
  <si>
    <t>037 DE 2020</t>
  </si>
  <si>
    <t>038 DE 2020</t>
  </si>
  <si>
    <t>039 DE 2020</t>
  </si>
  <si>
    <t>040 DE 2020</t>
  </si>
  <si>
    <t>041 DE 2020</t>
  </si>
  <si>
    <t>042 DE 2020</t>
  </si>
  <si>
    <t>043 DE 2020</t>
  </si>
  <si>
    <t>044 DE 2020</t>
  </si>
  <si>
    <t>045 DE 2020</t>
  </si>
  <si>
    <t>050 DE 2020</t>
  </si>
  <si>
    <t>052 DE 2020</t>
  </si>
  <si>
    <t>054 DE 2020</t>
  </si>
  <si>
    <t>056 DE 2020</t>
  </si>
  <si>
    <t>058 DE 2020</t>
  </si>
  <si>
    <t>060 DE 2020</t>
  </si>
  <si>
    <t>061 DE 2020</t>
  </si>
  <si>
    <t>062 DE 2020</t>
  </si>
  <si>
    <t>098 DE 2020</t>
  </si>
  <si>
    <t>099 DE 2020</t>
  </si>
  <si>
    <t>100 DE 2020</t>
  </si>
  <si>
    <t>101 DE 2020</t>
  </si>
  <si>
    <t>164 DE 2020</t>
  </si>
  <si>
    <t>174 DE 2020</t>
  </si>
  <si>
    <t>175 DE 2020</t>
  </si>
  <si>
    <t>1</t>
  </si>
  <si>
    <t>2</t>
  </si>
  <si>
    <t>3</t>
  </si>
  <si>
    <t>4</t>
  </si>
  <si>
    <t>5</t>
  </si>
  <si>
    <t>6</t>
  </si>
  <si>
    <t>53245</t>
  </si>
  <si>
    <t>53292</t>
  </si>
  <si>
    <t>58778</t>
  </si>
  <si>
    <t>58706</t>
  </si>
  <si>
    <t>58707</t>
  </si>
  <si>
    <t>58779</t>
  </si>
  <si>
    <t>58780</t>
  </si>
  <si>
    <t>58942</t>
  </si>
  <si>
    <t>59665</t>
  </si>
  <si>
    <t>59669</t>
  </si>
  <si>
    <t>59797</t>
  </si>
  <si>
    <t>59798</t>
  </si>
  <si>
    <t>61591</t>
  </si>
  <si>
    <t>61592</t>
  </si>
  <si>
    <t>61953</t>
  </si>
  <si>
    <t>61594</t>
  </si>
  <si>
    <t>PAQUETE</t>
  </si>
  <si>
    <t>Total general</t>
  </si>
  <si>
    <t>CO1.PCCNTR.1860601</t>
  </si>
  <si>
    <t>2020/09/22</t>
  </si>
  <si>
    <t>KENYA NADEZHDA PRADA MAYORGA</t>
  </si>
  <si>
    <t>CO1.PCCNTR.1860196</t>
  </si>
  <si>
    <t>RAFAEL RAMIRO REYES ZARATE</t>
  </si>
  <si>
    <t>ORDEN DE COMPRA 55231</t>
  </si>
  <si>
    <t>2020/09/16</t>
  </si>
  <si>
    <t>MATRIZ ENERGY &amp; INFRASCTRUCTURE SAS</t>
  </si>
  <si>
    <t>ORDEN DE COMPRA 55221</t>
  </si>
  <si>
    <t>MAS EMPRESARIAL SM SAS</t>
  </si>
  <si>
    <t>ORDEN DE COMPRA 59706</t>
  </si>
  <si>
    <t>ORDEN DE COMPRA 59710</t>
  </si>
  <si>
    <t>ORDEN DE COMPRA 59711</t>
  </si>
  <si>
    <t>ORDEN DE COMPRA 59712</t>
  </si>
  <si>
    <t>GLOBALK COLOMBIA S.A.S.</t>
  </si>
  <si>
    <t>ORDEN DE COMPRA 59713</t>
  </si>
  <si>
    <t xml:space="preserve">	PROCTECH TECNOLOGIA EN PROTECCION SAS</t>
  </si>
  <si>
    <t>ORDEN DE COMPRA 59723</t>
  </si>
  <si>
    <t xml:space="preserve">	MAS EMPRESARIAL SM SAS</t>
  </si>
  <si>
    <t>ORDEN DE COMPRA 61829</t>
  </si>
  <si>
    <t>SUQUIN S.A.S</t>
  </si>
  <si>
    <t>PRESTACIÓN DEL SERVICIO DE APOYO A LA GESTIÓN COMO VIGÍA EN SALUD PARA FORTALECER LAS MEDIDAS DE PREVENCIÓN DEL CONTAGIO Y PROPAGACIÓN DEL COVID -19 EN CUMPLIMIENTO DEL ACUERDO PCSJA20-11567 DEL CSJ, EN LAS SEDES JUDICIALES DE VILLAVICENCIO.</t>
  </si>
  <si>
    <t>ADQUIRIR GUANTES DE NITRILO</t>
  </si>
  <si>
    <t>ADQUIRIR TAPABOCAS DE TELA LAVABLE</t>
  </si>
  <si>
    <t>ADQUIRIR FRASCO ATOMIZADOR</t>
  </si>
  <si>
    <t>ADQUIRIR TOALLAS PARA MANOS</t>
  </si>
  <si>
    <t>ADQUIRI GEL Y ALCOHOL</t>
  </si>
  <si>
    <t>ADQUIRIR CARETAS</t>
  </si>
  <si>
    <t xml:space="preserve">ADQUIRIR TAPABOCAS  </t>
  </si>
  <si>
    <t>ATOMIZADOR</t>
  </si>
  <si>
    <t>PRESTACIÓN DEL SERVICIO DE VIGIAS  POR TRES MESES</t>
  </si>
  <si>
    <t>ALCOHOL FRASCO</t>
  </si>
  <si>
    <t>GS1- DISPENSADOR DE GEL MANO LIBRE</t>
  </si>
  <si>
    <t>DISPENSADOR DE GEL MANO LIBRE</t>
  </si>
  <si>
    <t xml:space="preserve"> ADQUISICIÓN DE TERMÓMETROS DIGITALES INFRA-ROJOS, PARA PREVENCIÓN DEL CONTAGIO DEL COVID-19 EN LOS SERVIDORES JUDICIALES, CONTRATISTAS DE PRESTACIÓN DE SERVICIOS Y JUDICANTES; EN LAS SEDE JUDICIALES DEL DISTRITO JUDICIAL DE PEREIRA</t>
  </si>
  <si>
    <t>PANAMERICANA LIBRERÍA Y
PAPELERÍA S.A.S</t>
  </si>
  <si>
    <t>EB-98 - TERMÓMETRO INFRAROJO (UNID)</t>
  </si>
  <si>
    <t>PILA RECARGABLE 9 VOL.</t>
  </si>
  <si>
    <t>JABON LIQUIDO P/MANOS ANTIBAC.X20L ORION</t>
  </si>
  <si>
    <t>GEL PARA MANOS ANTISEPTICO X 3800 ML</t>
  </si>
  <si>
    <t>DISPENSADOR PARA JABON LIQUIDO
CAPACIDAD 800ML</t>
  </si>
  <si>
    <t>TOALLA P/MANOS BLANCO Z D/H FAJO
X150UN</t>
  </si>
  <si>
    <t>ALCOHOL ANTISEPTICO ETILICO 70% X 500</t>
  </si>
  <si>
    <t>MAKRO SUPERMAYORISTA S.A.S</t>
  </si>
  <si>
    <t>BOLSA DE TAPABOCA QUIRURGUICO COSIDO DE 3CAPAS CON EMPAQUE INDIVIDUAL 50 UNIDADES - REGISTRO INVIMA</t>
  </si>
  <si>
    <t>PELICULA EXTENSIBLE TRANSP. 30 X 300MTS</t>
  </si>
  <si>
    <t xml:space="preserve"> ADQUISICIÓN DE CARETAS (PROTECTOR FACIAL), PARA LOS SERVIDORES JUDICIALES DEL DISTRITO JUDICIAL DE PEREIRA, QUE ATIENDEN PUBLICO POR EL INSTRUMENTO DE AGREGACIÓN DE DEMANDA EMERGENCIA COVID-19</t>
  </si>
  <si>
    <t>CARETAS VISORES (PROTECTOR
FACIAL)</t>
  </si>
  <si>
    <t>74 UNIDAD OF ETC02--LOTE3-ETP ESCANER A4 VERTICAL MINIMO 9.000 PAGINAS MINIMO 70 PPM ZONA 2 74 UNIDAD OF ETC02--LOTE3-COMPONENTE MODULO DE RED PARA ÍTEMS 2 A 14 NA NA NA ZONA 2 74 UNIDAD OF ETC02--LOTE3-SERVICIO INSTALACION SOFTWARE Y CONFIGURACION DEL ETP ETP   ZONA 2 1 UNIDAD OF ETC02--IVA 20 UNIDAD OF ETC02--LOTE3-ETP ESCANER A4 VERTICAL MINIMO 9.000 PAGINAS MINIMO 70 PPM ZONA 2 20 UNIDAD OF ETC02--LOTE3-COMPONENTE MODULO DE RED PARA ÍTEMS 2 A 14 NA NA NA ZONA 2 20 UNIDAD OF ETC02--LOTE3-SERVICIO INSTALACION SOFTWARE Y CONFIGURACION DEL ETP ETP ZONA 2</t>
  </si>
  <si>
    <t>ESCANER A4 VERTICAL</t>
  </si>
  <si>
    <t>PULSOXÍMETRO</t>
  </si>
  <si>
    <t>COV01-EB-79 - PULSOXÍMETRO</t>
  </si>
  <si>
    <t>PULSOXIMETRO</t>
  </si>
  <si>
    <t>15 UNIDAD OF COV01-EB-98 - TERMÓMETRO INFRAROJO 1 UNIDAD OF COV01-DIS-1 - DISTRIBUCION</t>
  </si>
  <si>
    <t>19 UNIDAD OF COV01-EB-15 - CAMILLA PARA EXAMEN 20 UNIDAD OF COV01-EB-85 - SILLAS DE RUEDAS 1 UNIDAD OF COV01-DIS-1 - DISTRIBUCION</t>
  </si>
  <si>
    <t>D&amp;D S.A.S</t>
  </si>
  <si>
    <t>COV01-EB-15 - CAMILLA PARA EXAMEN</t>
  </si>
  <si>
    <t>CAMILLA</t>
  </si>
  <si>
    <t>COV01-EB-85 - SILLAS DE RUEDAS</t>
  </si>
  <si>
    <t>SILLAS DE RUEDAS</t>
  </si>
  <si>
    <t>KIT PREVENCION CONTAGIO (QTAPABOCAS LAVABLE + 1 GAFASPROTECTORAS + 1 FC ALCOHOL 55 ML, + 1 PQTOALLITAS HUMEDAS</t>
  </si>
  <si>
    <t>KIT PREVENCION</t>
  </si>
  <si>
    <t>500 UNIDAD OF COV01-EPP-31 - TAPABOCAS DOBLE TELA LAVABLE 400 UNIDAD OF COV01-EPP-17 - KIT PREVENCIÓN: CONTIENE TRAJE ANTIFLUIDO  BATA QUIRURGICA  PANTALON PIJAMA  CUBRE ZAPATOS GORRO Y TAPABOCAS  CUALQUIER PIEZA SE PUEDE HACER INDEPENDIENTE  SON RESISTENTES AL CLORO  1 UNIDAD OF COV01-DIS-1 - DISTRIBUCION</t>
  </si>
  <si>
    <t>FUNDACION TEJIDO SOCIAL ORG</t>
  </si>
  <si>
    <t>COV01-EPP-31 - TAPABOCAS DOBLE TELALAVABLE CAJA X 100</t>
  </si>
  <si>
    <t>COV01-EPP-17 - KIT PREVENCIÓN: CONTIENETRAJE ANTIFLUIDO, BATA QUIRURGICA,PANTALON PIJAMA, CUBRE ZAPATOS GORRO YTAPABOCAS, CUALQUIER PIEZA SE PUEDEHACER INDEPENDIENTE, SON RESISTENTES ALCLORO</t>
  </si>
  <si>
    <t>30 UNIDAD OF COV01-PA-68 - TAPETE BIOCOMPONENTE - UNIDAD 1 UNIDAD OF COV01-DIS-1 - DISTRIBUCION 1 UNIDAD OF COV01-IVA</t>
  </si>
  <si>
    <t>BIOANALYTICA SAS</t>
  </si>
  <si>
    <t>COV01-PA-68 - TAPETE BIOCOMPONENTE -UNIDAD</t>
  </si>
  <si>
    <t>50 UNIDAD OF COV01-PA-64 - DISPENSADOR TOALLA DE MANOS - UNIDAD 50 UNIDAD OF COV01-PA-66 - BASES PARA DISPENSADORES DE GEL DESINFECTANTE Y JABÓN LÍQUIDO PARA MANOS - UNIDAD 1 UNIDAD OF COV01-DIS-1 - DISTRIBUCION 1 UNIDAD OF COV01-IVA</t>
  </si>
  <si>
    <t>COV01-PA-64 - DISPENSADOR TOALLA DEMANOS - UNIDAD</t>
  </si>
  <si>
    <t>COV01-PA-66 - BASES PARA DISPENSADORESDE GEL DESINFECTANTE Y JABÓN LÍQUIDOPARA MANOS - UNIDAD</t>
  </si>
  <si>
    <t>400 UNIDAD OF COV01-PA-4 - ALCOHOL ISOPROPILICO 70% EN GEL PARA ANTISEPSIA DE MANOS - FC X1LT 1 UNIDAD OF COV01-DIS-1 - DISTRIBUCION</t>
  </si>
  <si>
    <t>COV01-PA-4 - ALCOHOL ISOPROPILICO 70% ENGEL PARA ANTISEPSIA DE MANOS - FC X1LT</t>
  </si>
  <si>
    <t>150 UNIDAD OF COV01-PA-37 - JABON QUIRURGICO CLORHEXIDINA 4% + CETRIMIDA 0 05% SOLUCION ANTISÉPTICA - GALON</t>
  </si>
  <si>
    <t>SERVICIOS INTEGRADOS SAS</t>
  </si>
  <si>
    <t>COV01-PA-37 - JABON QUIRURGICO CLORHEXIDINA4% + CETRIMIDA 0,05% SOLUCION ANTISÉPTICA -GALON</t>
  </si>
  <si>
    <t>2 000 UNIDAD OF COV01-PA-14 - DETERGENTE DESINFECTANTE DESODORANTE FRASCO PARA LA LIMPIEZA Y LA DESINFECCIÓN DE TODA SUPERFICIE LAVABLE  - FRASCO  X 1LT CON DOSIFICADOR  INTEGRADO 1 UNIDAD OF COV01-DIS-1 - DISTRIBUCION</t>
  </si>
  <si>
    <t>COV01-PA-14 - DETERGENTE DESINFECTANTEDESODORANTE FRASCO PARA LA LIMPIEZA YLA DESINFECCIÓN DE TODA SUPERFICIELAVABLE - FRASCO X 1LT CON DOSIFICADORINTEGRADO</t>
  </si>
  <si>
    <t>100 UNIDAD OF COV01-PA-64 - DISPENSADOR TOALLA DE MANOS - UNIDAD 1 UNIDAD OF COV01-DIS-1 - DISTRIBUCION 1 UNIDAD OF COV01-IVA</t>
  </si>
  <si>
    <t>50 UNIDAD OF COV01-PA-65 - DISPENSADOR AUTOMATICO DE JABÓN LÍQUIDO - UNIDAD 1 UNIDAD OF COV01-DIS-1 - DISTRIBUCION 1 UNIDAD OF COV01-IVA</t>
  </si>
  <si>
    <t>PAULO CESAR CARVAJAL &amp; PRODUCTOS INSTITUCIONALES</t>
  </si>
  <si>
    <t>COV01-PA-65 - DISPENSADOR AUTOMATICO DEJABÓN LÍQUIDO - UNIDAD</t>
  </si>
  <si>
    <t>72 UNIDAD OF COV01-TEC-29 - CAMARAS PARA ESCRITORIO - LOGITECH 1 UNIDAD OF COV01-DIS-1 - DISTRIBUCION 1 UNIDAD OF COV01-IVA</t>
  </si>
  <si>
    <t>COV01-TEC-29 - CAMARAS PARA ESCRITORIO -LOGITECH</t>
  </si>
  <si>
    <t>300 UNIDAD OF COV01-EPP-14 - GUANTES DE NITRILO 1 UNIDAD OF COV01-DIS-1 - DISTRIBUCION</t>
  </si>
  <si>
    <t>EPP-14 - GUANTES DE NITRILO (CAJAS X 100 UNIDADES)</t>
  </si>
  <si>
    <t>50 UNIDAD OF COV01-EPP-9 - CARETAS VISORES (PROTECTOR FACIAL) 1 UNIDAD OF COV01-DIS-1 - DISTRIBUCION</t>
  </si>
  <si>
    <t>COV01-EPP-9 - CARETAS VISORES (PROTECTORFACIAL)</t>
  </si>
  <si>
    <t>30 UNIDAD OF COV01-PA-69 - CINTA MARCACIÓN Y DELIMITACIÓN DE ÁREAS - ROLLO POR 33 METROS 1 UNIDAD OF COV01-DIS-1 - DISTRIBUCION 1 UNIDAD OF COV01-IVA</t>
  </si>
  <si>
    <t>PA-69 - CINTA MARCACIÓN Y DELIMITACIÓN DE ÁREAS - ROLLO POR 33 METROS</t>
  </si>
  <si>
    <t>50 UNIDAD OF COV01-PA-65 - DISPENSADOR AUTOMATICO DE JABÓN LÍQUIDO - UNIDAD 30 UNIDAD OF COV01-PA-51 - PAPEL VINIPEL - ROLLO MÍNIMO DE 12.5 CM X 200M 1 UNIDAD OF COV01-DIS-1 - DISTRIBUCION 1 UNIDAD OF COV01-IVA</t>
  </si>
  <si>
    <t>COV01-PA-51 - PAPEL VINIPEL - ROLLO MÍNIMODE 12.5 CM X 200M</t>
  </si>
  <si>
    <t>ROLLO X 200 MTS</t>
  </si>
  <si>
    <t>9 000 UNIDAD OF COV01-PA-59 - TOALLAS PARA MANOS 3 - UNIDAD 1 UNIDAD OF COV01-DIS-1 - DISTRIBUCION 1 UNIDAD OF COV01-IVA</t>
  </si>
  <si>
    <t>PA-59 - TOALLAS PARA MANOS PAQUETE X 50</t>
  </si>
  <si>
    <t>30 UNIDAD OF ETC02--LOTE1.6-ETP AIO 21.5PULGADAS WIN 10 PRO 64 BITS 3900 INTERMEDIA NA HDD + SSD 1 TB 7200 RPM + 256 GB PCIE 8 GB INTERNA ZONA 1 30 UNIDAD OF ETC02--LOTE1.6-SERVICIO INSTALACION SOFTWARE Y CONFIGURACION DEL ETP ETP VALOR UNITARIO POR ETP NA NA NA NA NA NA ZONA 1 30 UNIDAD OF ETC02--LOTE1.6-SERVICIO MIGRACION O TRANSFERENCIA DE DATOS GB POR ETP VALOR UNITARIO POR ETP NA NA NA NA NA NA ZONA 1 30 UNIDAD OF ETC02--LOTE1.6-COMPONENTE TARJETA DE RED INALAMBRICA PCIE 802.11 AC 2X2 NA NA NA NA NA NA NA NA ZONA 1 30 UNIDAD OF ETC02--LOTE1.6-COMPONENTE UNIDAD OPTICA INTERNA  DVD/CD +/- R RW MIN 8X PARA 21.5PULGADAS Y 23.8PULGADAS NA NA NA NA NA NA NA NA ZONA 1 1 UNIDAD OF ETC02--IVA</t>
  </si>
  <si>
    <t>NEX COMPUTER S.A.S.</t>
  </si>
  <si>
    <t>83 UNIDAD OF COV01-TEC-13 - DIADEMA INALÁMBRICA MONOURAL  SENCILLA  - HEADSET 1 UNIDAD OF COV01-IVA</t>
  </si>
  <si>
    <t>COV01-TEC-13 - DIADEMA INALÁMBRICAMONOURAL SENCILLA - HEADSET</t>
  </si>
  <si>
    <t>650 UNIDAD OF COV01-EPP-29 - TAPABOCA TELA POLYESTER ANTI FLUIDO 1 UNIDAD OF COV01-DIS-1 - DISTRIBUCION</t>
  </si>
  <si>
    <t>500 UNIDAD OF COV01-EPP-30 - TAPABOCAS DESECHABLES 1 UNIDAD OF COV01-DIS-1 - DISTRIBUCION</t>
  </si>
  <si>
    <t>TOP IMPORT SAS</t>
  </si>
  <si>
    <t>COV01-EPP-30 - TAPABOCAS DESECHABLES</t>
  </si>
  <si>
    <t>1 000 UNIDAD OF COV01-PA-18 - GEL ANTIBACTERIAL  - FC X1LT 1 UNIDAD OF COV01-DIS-1 - DISTRIBUCION</t>
  </si>
  <si>
    <t>PA-18 - GEL ANTIBACTERIAL  - FC X1LT</t>
  </si>
  <si>
    <t>20 UNIDAD OF GS-PILA RECARGABLE AA X2 ENERGIZER COD: 8403870 40 UNIDAD OF GS-CARGADOR P/PILAS AA-AAA-9 VOL + 4 PILAS. COD: 8507251 20 UNIDAD OF GS-PILA RECARGABLE AAA X2 ENERGIZER COD: 8373038 800 UNIDAD OF GS-TAPABOCA DESECHABLE T/MEDICO CAJAX50U COD: 900507952</t>
  </si>
  <si>
    <t>GS-PILA RECARGABLE AA X2 ENERGIZER</t>
  </si>
  <si>
    <t>GS-CARGADOR P/PILAS AA-AAA-9 VOL + 4 PILAS</t>
  </si>
  <si>
    <t>GS-PILA RECARGABLE AAA X2 ENERGIZER</t>
  </si>
  <si>
    <t>GS-TAPABOCA DESECHABLE T/MEDICOCAJAX50U</t>
  </si>
  <si>
    <t>CD-SO-12-2020</t>
  </si>
  <si>
    <t>PRESTACIÓN DEL SERVICIO DE VIGÍA EN SALUD PARA FORTALECER LA MEDIDAS DE PREVENCIÓN DEL CONTAGIO Y PROPAGACION DEL COVID -19 EN CUMPLIMIENTO DEL ACUERDO PCSJA20-11567 DEL CONSEJO SUPERIOR DE LA JUDICATURA   EN LAS SEDE JUDICIALE</t>
  </si>
  <si>
    <t>LINDA KATHERINE CARDONA GONZALEZ</t>
  </si>
  <si>
    <t>CD-SO-13-2020</t>
  </si>
  <si>
    <t>ANA MARIA TREJOS VINASCO</t>
  </si>
  <si>
    <t>CD-SO-14-2020</t>
  </si>
  <si>
    <t>RAUL ESTEBAN RIVERA VANEGAS</t>
  </si>
  <si>
    <t>CD-SO-15-2020</t>
  </si>
  <si>
    <t>CARLOS MARIO ALZATE MONTOYA</t>
  </si>
  <si>
    <t>CD-SO-16-2020</t>
  </si>
  <si>
    <t>ANGIE TATIANA VASQUEZ ATEHORTUA</t>
  </si>
  <si>
    <t>CD-SO-17-2020</t>
  </si>
  <si>
    <t>PRESTACIÓN DEL SERVICIO DE VIGÍA EN SALUD PARA FORTALECER LA MEDIDAS DE PREVENCIÓN DEL CONTAGIO Y PROPAGACION DEL COVID -19 EN CUMPLIMIENTO DEL ACUERDO PCSJA20-11567 DEL CONSEJO SUPERIOR DE LA JUDICATURA   EN LAS SEDES JUDICIAL</t>
  </si>
  <si>
    <t>TATIANA ALEJANDRA GUAPACHA ARICAPA</t>
  </si>
  <si>
    <t>CD-SO-18-2020</t>
  </si>
  <si>
    <t>SANTIAGO OSORIO MEJA</t>
  </si>
  <si>
    <t>CD-SO-19-2020</t>
  </si>
  <si>
    <t>DANIELA GONZALEZ LONDOÑO</t>
  </si>
  <si>
    <t>CD-SO-20-2020</t>
  </si>
  <si>
    <t>CINDY TATIANA GARCIA TOBAR</t>
  </si>
  <si>
    <t>CD-SO-21-2020</t>
  </si>
  <si>
    <t>ANA MARIA CARDONA VARGAS</t>
  </si>
  <si>
    <t>CD-SO-22-2020</t>
  </si>
  <si>
    <t>CLAUDIA PATRICIA CELIS BARTOLO</t>
  </si>
  <si>
    <t>CD-SO-23-2020</t>
  </si>
  <si>
    <t>JESUS ANTONIO HERNANEZ CASTRILLON</t>
  </si>
  <si>
    <t>CD-SO-24-2020</t>
  </si>
  <si>
    <t>PRESTACIÓN DEL SERVICIO DE VIGÍA EN SALUD-PROFESIONAL EN ENFERMERÍA PARA FORTALECER LA MEDIDAS DE PREVENCIÓN DEL CONTAGIO Y PROPAGACION DEL COVID -19 EN CUMPLIMIENTO DEL ACUERDO PCSJA20-11567 DEL CONSEJO SUPERIOR DE LA JUDICATU</t>
  </si>
  <si>
    <t>LUISA FERNANDA RAMIREZ GARCIA</t>
  </si>
  <si>
    <t>CD-SO-25-2020</t>
  </si>
  <si>
    <t>JIMENA GALLEGO MOLINA</t>
  </si>
  <si>
    <t>CD-SO-26-2020</t>
  </si>
  <si>
    <t>KAREN PALACIO</t>
  </si>
  <si>
    <t>CD-SO-27-2020</t>
  </si>
  <si>
    <t>CONTRATAR EN NOMBRE DE LA NACIÓN – CONSEJO SUPERIOR DE LA JUDICATURA, LA PRESTACIÓN DEL SERVICIO DE VIGÍA EN SALUD PARA FORTALECER LA MEDIDAS DE PREVENCIÓN DEL CONTAGIO Y PROPAGACION DEL COVID -19 EN CUMPLIMIENTO DEL ACUERDO PCSJA20-11567 DEL CONSEJO SUPERIOR DE LA JUDICATURA , EN LAS SEDE JUDICIALES EN EL MUNICIPIO DE APÍA</t>
  </si>
  <si>
    <t>ANGELA LORENA CEBALLOS ARANGO</t>
  </si>
  <si>
    <t>CD-SO-28-2020</t>
  </si>
  <si>
    <t>CONTRATAR EN NOMBRE DE LA NACIÓN – CONSEJO SUPERIOR DE LA JUDICATURA, LA PRESTACIÓN DEL SERVICIO DE VIGÍA EN SALUD PARA FORTALECER LA MEDIDAS DE PREVENCIÓN DEL CONTAGIO Y PROPAGACION DEL COVID -19 EN CUMPLIMIENTO DEL ACUERDO PCSJA20-11567 DEL CONSEJO SUPERIOR DE LA JUDICATURA , EN LAS SEDE JUDICIALES EN EL MUNICIPIO DE PUEBLO RICO</t>
  </si>
  <si>
    <t>JANDRY LORENA MOLINA CHIQUITO</t>
  </si>
  <si>
    <t>CD-SO-29-2020</t>
  </si>
  <si>
    <t>CONTRATAR EN NOMBRE DE LA NACIÓN – CONSEJO SUPERIOR DE LA JUDICATURA, LA PRESTACIÓN DEL SERVICIO DE VIGÍA EN SALUD PARA FORTALECER LA MEDIDAS DE PREVENCIÓN DEL CONTAGIO Y PROPAGACION DEL COVID -19 EN CUMPLIMIENTO DEL ACUERDO PCSJA20-11567 DEL CONSEJO SUPERIOR DE LA JUDICATURA , EN LAS SEDE JUDICIALES EN EL MUNICIPIO DE SANTUARIO</t>
  </si>
  <si>
    <t>DANIELA ARREDONDO MEJIA</t>
  </si>
  <si>
    <t>CD-SO-30-2020</t>
  </si>
  <si>
    <t>CONTRATAR EN NOMBRE DE LA NACIÓN – CONSEJO SUPERIOR DE LA JUDICATURA, LA PRESTACIÓN DEL SERVICIO DE VIGÍA EN SALUD PARA FORTALECER LA MEDIDAS DE PREVENCIÓN DEL CONTAGIO Y PROPAGACION DEL COVID -19 EN CUMPLIMIENTO DEL ACUERDO PCSJA20-11567 DEL CONSEJO SUPERIOR DE LA JUDICATURA , EN LAS SEDE JUDICIALES EN EL MUNICIPIO DE BELÉN DE UMBRÍA</t>
  </si>
  <si>
    <t>YENIFER JIMENEZ MONTOYA</t>
  </si>
  <si>
    <t>CD SO 32 DE 2020</t>
  </si>
  <si>
    <t>CONTRATAR EN NOMBRE DE LA NACIÓN – CONSEJO SUPERIOR DE LA JUDICATURA, LA PRESTACIÓN DEL SERVICIO DE VIGÍA EN SALUD PARA FORTALECER LA MEDIDAS DE PREVENCIÓN DEL CONTAGIO Y PROPAGACION DEL COVID -19 EN CUMPLIMIENTO DE LOS ACUERDOS PCSJA20-11567 Y PCSJA20-11632 DEL CONSEJO SUPERIOR DE LA JUDICATURA, EN LAS SEDES JUDICIALES DEL MUNICIPIO DE PEREIRA</t>
  </si>
  <si>
    <t xml:space="preserve"> CLAUDIA LORENA GIRALDO ORREGO</t>
  </si>
  <si>
    <t>CD SO 33 DE 2020</t>
  </si>
  <si>
    <t>DANIEL ANDRES MEJIA AVENDAÑO</t>
  </si>
  <si>
    <t>MC 29 DE 2020</t>
  </si>
  <si>
    <t xml:space="preserve"> ADQUISICIÓN DE SIETE (7) DESFIBRILADORES EXTERNOS AUTOMÁTICOS (DEA) REANIMADOR CARDIOPULMONAR, INCLUYE ELEMENTOS COMPLEMENTARIOS, CAPACITACIÓN E INSTALACIÓN, CON EL FIN DE ACTUAR COMO PRIMER RESPONDIENTE ANTE EMERGENCIAS PRESENTADAS EN LAS SEDES JUDICIALES DEL DISTRITO JUDICIAL PEREIRA – RISARALDA</t>
  </si>
  <si>
    <t>INGENIERIA HOSPITALARIA S.A.S</t>
  </si>
  <si>
    <t>DESFIBRILADORES</t>
  </si>
  <si>
    <t>LAVAMANOS AUTONOMO ACERO INOXIDABLE</t>
  </si>
  <si>
    <t xml:space="preserve"> ADQUISICIÓN DE JABÓN LÍQUIDO PARA MANOS ANTIBACTERIAL Y GEL PARA MANOS ANTISÉPTICO, MEDIDAS COMPLEMENTARIAS, PARA PREVENCIÓN DEL CONTAGIO DEL COVID-19 EN LOS SERVIDORES JUDICIALES DEL DISTRITO JUDICIAL DE PEREIRA</t>
  </si>
  <si>
    <t xml:space="preserve"> ADQUISICIÓN DE TAPABOCAS, SEGÚN LA MATRIZ DE EPP; EN CUMPLIMIENTO DE CIRCULAR DEAJC20-35 “PROTOCOLO DE ACCESO A SEDES</t>
  </si>
  <si>
    <t xml:space="preserve"> ADQUISICIÓN DE GUANTES, SEGÚN LA MATRIZ DE EPP; EN CUMPLIMIENTO DE CIRCULAR DEAJC20-35</t>
  </si>
  <si>
    <t xml:space="preserve"> ADQUISICIÓN DE PELÍCULA EXTENSIBLE PARA CUBRIR LOS MICRÓFONOS EN LAS SALAS DE AUDIENCIAS, EN CUMPLIMIENTO DE CIRCULAR DEAJC20-35 </t>
  </si>
  <si>
    <t>ADQUISICIÓN DE DISPENSADORES DE JABÓN LÍQUIDO DE PARED, TOALLA DESECHABLES PARA MANOS DE PAPEL Y ALCOHOL ANTISÉPTICO 70%; EN CUMPLIMIENTO DE CIRCULAR DEAJC20-35</t>
  </si>
  <si>
    <t>EPP-16 - KIT PREVENCION CONTAGIO (TAPABOCAS LAVABLE + 1 GAFAS PROTECTORAS + 1 FC ALCOHOL 55 ML, + 1 PQ TOALLITAS HUMEDAS (KITS)</t>
  </si>
  <si>
    <t>Etiquetas de fila</t>
  </si>
  <si>
    <t>Suma de VALOR TOTAL</t>
  </si>
  <si>
    <t>ADQUISICIÓN DE SIETE (7) DESFIBRILADORES EXTERNOS AUTOMÁTICOS (DEA) REANIMADOR CARDIOPULMONAR, INCLUYE ELEMENTOS COMPLEMENTARIOS, CAPACITACIÓN E INSTALACIÓN, CON EL FIN DE ACTUAR COMO PRIMER RESPONDIENTE ANTE EMERGENCIAS PRESENTADAS EN LAS SEDES JUDICIALES DEL DISTRITO JUDICIAL PEREIRA – RISARALDA</t>
  </si>
  <si>
    <t>PRESTACIÓN DEL SERVICIO DE VIGÍA EN SALUD-PROFESIONAL EN ENFERMERÍA PARA FORTALECER LA MEDIDAS DE PREVENCIÓN DEL CONTAGIO Y PROPAGACION DEL COVID -19 EN CUMPLIMIENTO DEL ACUERDO PCSJA20-11567 DEL CONSEJO SUPERIOR DE LA JUDICATURA POR CUATRO MESES</t>
  </si>
  <si>
    <t>PRESTACIÓN DEL SERVICIO DE VIGÍA EN SALUD PARA FORTALECER LA MEDIDAS DE PREVENCIÓN DEL CONTAGIO Y PROPAGACION DEL COVID -19 EN CUMPLIMIENTO DEL ACUERDO PCSJA20-11567 DEL CONSEJO SUPERIOR DE LA JUDICATURA   EN LAS SEDE JUDICIALES POR CUATRO MESES</t>
  </si>
  <si>
    <t>PRESTACIÓN DEL SERVICIO DE VIGÍA EN SALUD PARA FORTALECER LA MEDIDAS DE PREVENCIÓN DEL CONTAGIO Y PROPAGACION DEL COVID -19 EN CUMPLIMIENTO DEL ACUERDO PCSJA20-11567 DEL CONSEJO SUPERIOR DE LA JUDICATURA   EN LAS SEDES JUDICIALES POR CUATRO MESES</t>
  </si>
  <si>
    <t>VALOR PROMEDIO</t>
  </si>
  <si>
    <t>VALOR TOTAL POR CATEGORIA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</si>
</sst>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quot;$&quot;\ * #,##0_-;_-&quot;$&quot;\ * &quot;-&quot;??_-;_-@_-"/>
    <numFmt numFmtId="165" formatCode="yyyy\-mm\-dd;@"/>
    <numFmt numFmtId="166" formatCode="_-* #,##0_-;\-* #,##0_-;_-* &quot;-&quot;??_-;_-@_-"/>
    <numFmt numFmtId="167" formatCode="_-&quot;$&quot;\ * #,##0.0000_-;\-&quot;$&quot;\ * #,##0.0000_-;_-&quot;$&quot;\ * &quot;-&quot;??_-;_-@_-"/>
    <numFmt numFmtId="168" formatCode="_-&quot;$&quot;\ * #,##0.0000000_-;\-&quot;$&quot;\ * #,##0.0000000_-;_-&quot;$&quot;\ * &quot;-&quot;??_-;_-@_-"/>
    <numFmt numFmtId="169" formatCode="0.0000%"/>
  </numFmts>
  <fonts count="8" x14ac:knownFonts="1">
    <font>
      <sz val="11"/>
      <color theme="1"/>
      <name val="Calibri"/>
      <family val="2"/>
      <scheme val="minor"/>
    </font>
    <font>
      <sz val="11"/>
      <color theme="1"/>
      <name val="Calibri"/>
      <family val="2"/>
      <scheme val="minor"/>
    </font>
    <font>
      <b/>
      <sz val="11"/>
      <color rgb="FF000000"/>
      <name val="Calibri"/>
      <family val="2"/>
      <scheme val="minor"/>
    </font>
    <font>
      <b/>
      <sz val="11"/>
      <name val="Calibri"/>
      <family val="2"/>
      <scheme val="minor"/>
    </font>
    <font>
      <sz val="11"/>
      <color rgb="FF000000"/>
      <name val="Calibri"/>
      <family val="2"/>
      <scheme val="minor"/>
    </font>
    <font>
      <sz val="1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rgb="FF00B0F0"/>
        <bgColor rgb="FF000000"/>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3" fontId="3" fillId="2" borderId="1" xfId="4"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1" fontId="3" fillId="2" borderId="1" xfId="2" applyNumberFormat="1" applyFont="1" applyFill="1" applyBorder="1" applyAlignment="1">
      <alignment horizontal="center" vertical="center" wrapText="1"/>
    </xf>
    <xf numFmtId="41" fontId="3" fillId="2" borderId="1" xfId="2" applyFont="1" applyFill="1" applyBorder="1" applyAlignment="1">
      <alignment horizontal="center" vertical="center" wrapText="1"/>
    </xf>
    <xf numFmtId="164" fontId="3" fillId="2" borderId="1" xfId="3" applyNumberFormat="1" applyFont="1" applyFill="1" applyBorder="1" applyAlignment="1">
      <alignment horizontal="center" vertical="center" wrapText="1"/>
    </xf>
    <xf numFmtId="0" fontId="0" fillId="0" borderId="0" xfId="0" applyFill="1" applyBorder="1" applyAlignment="1" applyProtection="1">
      <alignment vertical="center"/>
      <protection locked="0"/>
    </xf>
    <xf numFmtId="0" fontId="0" fillId="0" borderId="0" xfId="0" applyFill="1" applyBorder="1" applyAlignment="1" applyProtection="1">
      <alignment horizontal="left" vertical="center"/>
      <protection locked="0"/>
    </xf>
    <xf numFmtId="0" fontId="4" fillId="0" borderId="0" xfId="0" applyFont="1" applyFill="1" applyAlignment="1">
      <alignment vertical="center"/>
    </xf>
    <xf numFmtId="165" fontId="0" fillId="0" borderId="0" xfId="0" applyNumberFormat="1" applyFill="1" applyBorder="1" applyAlignment="1" applyProtection="1">
      <alignment horizontal="right" vertical="center"/>
      <protection locked="0"/>
    </xf>
    <xf numFmtId="164" fontId="0" fillId="0" borderId="0" xfId="3" applyNumberFormat="1" applyFont="1" applyFill="1" applyBorder="1" applyAlignment="1" applyProtection="1">
      <alignment vertical="center"/>
      <protection locked="0"/>
    </xf>
    <xf numFmtId="164" fontId="0" fillId="0" borderId="0" xfId="3" applyNumberFormat="1" applyFont="1" applyFill="1" applyBorder="1" applyAlignment="1">
      <alignment vertical="center"/>
    </xf>
    <xf numFmtId="0" fontId="0" fillId="0" borderId="0" xfId="0" applyFill="1" applyBorder="1" applyAlignment="1" applyProtection="1">
      <alignment horizontal="right" vertical="center"/>
      <protection locked="0"/>
    </xf>
    <xf numFmtId="0" fontId="0" fillId="0" borderId="0" xfId="0" applyFill="1" applyBorder="1" applyAlignment="1"/>
    <xf numFmtId="0" fontId="0" fillId="0" borderId="0" xfId="0" applyFill="1" applyBorder="1"/>
    <xf numFmtId="0" fontId="0" fillId="0" borderId="0" xfId="0" applyFill="1" applyBorder="1" applyAlignment="1">
      <alignment horizontal="center" vertical="center"/>
    </xf>
    <xf numFmtId="164" fontId="0" fillId="0" borderId="0" xfId="3" applyNumberFormat="1" applyFont="1" applyFill="1" applyBorder="1"/>
    <xf numFmtId="0" fontId="0" fillId="3" borderId="0" xfId="0" applyFill="1" applyBorder="1" applyAlignment="1">
      <alignment horizontal="center" vertical="center"/>
    </xf>
    <xf numFmtId="0" fontId="0" fillId="0" borderId="0" xfId="0" applyBorder="1"/>
    <xf numFmtId="164" fontId="0" fillId="0" borderId="0" xfId="5" applyNumberFormat="1" applyFont="1" applyFill="1" applyBorder="1" applyAlignment="1" applyProtection="1">
      <alignment vertical="center"/>
      <protection locked="0"/>
    </xf>
    <xf numFmtId="44" fontId="0" fillId="0" borderId="0" xfId="5" applyNumberFormat="1" applyFont="1" applyFill="1" applyBorder="1" applyAlignment="1">
      <alignment vertical="center"/>
    </xf>
    <xf numFmtId="164" fontId="0" fillId="0" borderId="0" xfId="5" applyNumberFormat="1" applyFont="1" applyFill="1" applyBorder="1"/>
    <xf numFmtId="44" fontId="0" fillId="0" borderId="0" xfId="5" applyNumberFormat="1" applyFont="1" applyFill="1" applyBorder="1"/>
    <xf numFmtId="44" fontId="0" fillId="0" borderId="0" xfId="5" applyNumberFormat="1" applyFont="1" applyFill="1" applyBorder="1" applyAlignment="1" applyProtection="1">
      <alignment vertical="center"/>
      <protection locked="0"/>
    </xf>
    <xf numFmtId="164" fontId="0" fillId="0" borderId="0" xfId="5" applyNumberFormat="1" applyFont="1" applyFill="1" applyBorder="1" applyAlignment="1">
      <alignment vertical="center"/>
    </xf>
    <xf numFmtId="0" fontId="4" fillId="0" borderId="0" xfId="0" applyFont="1" applyAlignment="1">
      <alignment vertical="center"/>
    </xf>
    <xf numFmtId="0" fontId="0" fillId="0" borderId="0" xfId="0" applyFill="1" applyBorder="1" applyAlignment="1">
      <alignment horizontal="center"/>
    </xf>
    <xf numFmtId="44" fontId="0" fillId="0" borderId="0" xfId="3" applyNumberFormat="1" applyFont="1" applyFill="1" applyBorder="1" applyAlignment="1">
      <alignment vertical="center"/>
    </xf>
    <xf numFmtId="164" fontId="0" fillId="0" borderId="0" xfId="0" applyNumberFormat="1"/>
    <xf numFmtId="0" fontId="0" fillId="3" borderId="0" xfId="0" applyFill="1" applyBorder="1" applyAlignment="1"/>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xf>
    <xf numFmtId="0" fontId="5" fillId="0" borderId="0" xfId="0" applyFont="1" applyAlignment="1">
      <alignment horizontal="center" vertical="center"/>
    </xf>
    <xf numFmtId="3" fontId="0" fillId="0" borderId="0" xfId="0" applyNumberFormat="1" applyAlignment="1">
      <alignment horizontal="center" vertical="center"/>
    </xf>
    <xf numFmtId="3" fontId="0" fillId="0" borderId="0" xfId="0" applyNumberFormat="1"/>
    <xf numFmtId="0" fontId="0" fillId="0" borderId="0" xfId="0" applyAlignment="1">
      <alignment horizontal="center"/>
    </xf>
    <xf numFmtId="44" fontId="0" fillId="0" borderId="0" xfId="0" applyNumberFormat="1"/>
    <xf numFmtId="42" fontId="1" fillId="0" borderId="2" xfId="4" applyFont="1" applyBorder="1" applyAlignment="1">
      <alignment horizontal="center" vertical="center"/>
    </xf>
    <xf numFmtId="166" fontId="3" fillId="2" borderId="1" xfId="1" applyNumberFormat="1" applyFont="1" applyFill="1" applyBorder="1" applyAlignment="1">
      <alignment horizontal="center" vertical="center" wrapText="1"/>
    </xf>
    <xf numFmtId="166" fontId="0" fillId="0" borderId="0" xfId="1" applyNumberFormat="1" applyFont="1" applyFill="1" applyBorder="1"/>
    <xf numFmtId="166" fontId="0" fillId="0" borderId="0" xfId="1" applyNumberFormat="1" applyFont="1"/>
    <xf numFmtId="167" fontId="0" fillId="0" borderId="0" xfId="0" applyNumberFormat="1" applyAlignment="1">
      <alignment vertical="center"/>
    </xf>
    <xf numFmtId="164" fontId="0" fillId="0" borderId="0" xfId="0" applyNumberFormat="1" applyAlignment="1">
      <alignment vertical="center"/>
    </xf>
    <xf numFmtId="44" fontId="0" fillId="0" borderId="0" xfId="0" applyNumberFormat="1" applyAlignment="1">
      <alignment vertical="center"/>
    </xf>
    <xf numFmtId="169" fontId="0" fillId="0" borderId="0" xfId="6" applyNumberFormat="1" applyFont="1"/>
    <xf numFmtId="164" fontId="0" fillId="0" borderId="0" xfId="0" applyNumberFormat="1" applyFill="1"/>
    <xf numFmtId="168" fontId="0" fillId="0" borderId="0" xfId="0" applyNumberFormat="1" applyFill="1"/>
    <xf numFmtId="0" fontId="0" fillId="0" borderId="0" xfId="0" applyFill="1"/>
    <xf numFmtId="167" fontId="0" fillId="0" borderId="0" xfId="0" applyNumberFormat="1"/>
    <xf numFmtId="0" fontId="0" fillId="0" borderId="0" xfId="0" applyFill="1" applyAlignment="1">
      <alignment vertical="center"/>
    </xf>
    <xf numFmtId="14" fontId="0" fillId="0" borderId="0" xfId="0" applyNumberFormat="1" applyFill="1" applyAlignment="1">
      <alignment vertical="center"/>
    </xf>
    <xf numFmtId="3" fontId="0" fillId="0" borderId="0" xfId="0" applyNumberFormat="1" applyFill="1" applyAlignment="1">
      <alignment vertical="center"/>
    </xf>
    <xf numFmtId="0" fontId="0" fillId="0" borderId="0" xfId="0" applyFill="1" applyAlignment="1">
      <alignment horizontal="right" vertical="center"/>
    </xf>
    <xf numFmtId="0" fontId="0" fillId="0" borderId="0" xfId="0" pivotButton="1"/>
    <xf numFmtId="0" fontId="0" fillId="0" borderId="0" xfId="0" pivotButton="1" applyAlignment="1">
      <alignment horizontal="center"/>
    </xf>
  </cellXfs>
  <cellStyles count="7">
    <cellStyle name="Millares" xfId="1" builtinId="3"/>
    <cellStyle name="Millares [0]" xfId="2" builtinId="6"/>
    <cellStyle name="Moneda" xfId="3" builtinId="4"/>
    <cellStyle name="Moneda [0]" xfId="4" builtinId="7"/>
    <cellStyle name="Moneda 2" xfId="5"/>
    <cellStyle name="Normal" xfId="0" builtinId="0"/>
    <cellStyle name="Porcentaje" xfId="6" builtinId="5"/>
  </cellStyles>
  <dxfs count="9">
    <dxf>
      <alignment horizontal="center" readingOrder="0"/>
    </dxf>
    <dxf>
      <alignment horizontal="center" readingOrder="0"/>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319.689739236113" createdVersion="5" refreshedVersion="5" minRefreshableVersion="3" recordCount="1013">
  <cacheSource type="worksheet">
    <worksheetSource ref="A1:P1014" sheet="CONSOLIDADO"/>
  </cacheSource>
  <cacheFields count="16">
    <cacheField name="SECCIONAL QUE CELEBRA EL CTO. " numFmtId="0">
      <sharedItems count="21">
        <s v="ARMENIA"/>
        <s v="BARRANQUILLA"/>
        <s v="BOGOTÁ"/>
        <s v="BUCARAMANGA"/>
        <s v="CALI"/>
        <s v="CARTAGENA"/>
        <s v="CÚCUTA"/>
        <s v="IBAGUÉ"/>
        <s v="MANIZALES"/>
        <s v="MEDELLÍN"/>
        <s v="MONTERÍA"/>
        <s v="NEIVA"/>
        <s v="NIVEL CENTRAL"/>
        <s v="PASTO"/>
        <s v="PEREIRA"/>
        <s v="POPAYÁN"/>
        <s v="SANTA MARTA"/>
        <s v="SINCELEJO"/>
        <s v="TUNJA"/>
        <s v="VALLEDUPAR"/>
        <s v="VILLAVICENCIO"/>
      </sharedItems>
    </cacheField>
    <cacheField name="NÚMERO DE CONTRATO" numFmtId="0">
      <sharedItems containsMixedTypes="1" containsNumber="1" containsInteger="1" minValue="48389" maxValue="62768"/>
    </cacheField>
    <cacheField name="OBJETO DEL CONTRATO " numFmtId="0">
      <sharedItems longText="1"/>
    </cacheField>
    <cacheField name="FECHA DE SUSCRIPCIÓN CONTRATO " numFmtId="0">
      <sharedItems containsDate="1" containsMixedTypes="1" minDate="2019-01-12T00:00:00" maxDate="2029-11-09T00:00:00"/>
    </cacheField>
    <cacheField name="FECHA INICIO CONTRATO" numFmtId="0">
      <sharedItems containsDate="1" containsMixedTypes="1" minDate="2019-12-01T00:00:00" maxDate="2021-12-25T00:00:00"/>
    </cacheField>
    <cacheField name="VALOR INICIAL DEL CONTRATO " numFmtId="0">
      <sharedItems containsString="0" containsBlank="1" containsNumber="1" minValue="0" maxValue="845880991"/>
    </cacheField>
    <cacheField name="ADICIONES AL VALOR CTO." numFmtId="0">
      <sharedItems containsSemiMixedTypes="0" containsString="0" containsNumber="1" minValue="-1980000" maxValue="151125000"/>
    </cacheField>
    <cacheField name="CONTRATISTA" numFmtId="0">
      <sharedItems/>
    </cacheField>
    <cacheField name="NIT. CONTRATISTA" numFmtId="0">
      <sharedItems containsMixedTypes="1" containsNumber="1" containsInteger="1" minValue="1062185" maxValue="9011694079"/>
    </cacheField>
    <cacheField name="DESCRIPCION ELEMENTOS ADQUIRIDOS" numFmtId="0">
      <sharedItems longText="1"/>
    </cacheField>
    <cacheField name="CANTIDAD" numFmtId="0">
      <sharedItems containsSemiMixedTypes="0" containsString="0" containsNumber="1" minValue="1" maxValue="217517"/>
    </cacheField>
    <cacheField name="UNIDAD DE MEDIDA" numFmtId="0">
      <sharedItems/>
    </cacheField>
    <cacheField name="VALOR UNITARIO" numFmtId="0">
      <sharedItems containsSemiMixedTypes="0" containsString="0" containsNumber="1" minValue="143.71860000000001" maxValue="30188750"/>
    </cacheField>
    <cacheField name="IVA" numFmtId="164">
      <sharedItems containsSemiMixedTypes="0" containsString="0" containsNumber="1" minValue="0" maxValue="2052000"/>
    </cacheField>
    <cacheField name="VALOR TOTAL" numFmtId="164">
      <sharedItems containsSemiMixedTypes="0" containsString="0" containsNumber="1" minValue="10715.759599999999" maxValue="597200000"/>
    </cacheField>
    <cacheField name="CATEGORIA" numFmtId="0">
      <sharedItems count="58">
        <s v="TRAJES DE PROTECCION / OVEROL"/>
        <s v="GUANTES NITILSAFE"/>
        <s v="GAFAS"/>
        <s v="TAPABOCAS"/>
        <s v="GEL ANTIBACTERIAL"/>
        <s v="JABON LIQUIDO PARA MANOS"/>
        <s v="VIGIAS DE SALUD"/>
        <s v="VINIPEL"/>
        <s v="TOALLAS DE PAPEL"/>
        <s v="LAVAMANOS"/>
        <s v="GUANTES DE NITRILO"/>
        <s v="CARETAS"/>
        <s v="DISPENSADOR"/>
        <s v="DIVISIONES / BARRERAS / PUERTAS "/>
        <s v="ALQUILER DE ESCANNER"/>
        <s v="CANECAS / PAPELERAS"/>
        <s v="AUXILIARES DE ASEO"/>
        <s v="ESCANNER"/>
        <s v="CÁMARAS WEB"/>
        <s v="DIADEMAS"/>
        <s v="ATOMIZADOR / DOSIFICADOR"/>
        <s v="COMPUTADOR"/>
        <s v="TERMOMETROS"/>
        <s v="BLANQUEADOR"/>
        <s v="GUANTES DE LATEX"/>
        <s v="ADECUACION / REPARACION"/>
        <s v="ALCOHOL"/>
        <s v="BAYETILLA"/>
        <s v="AREAS PROTEGIDAS"/>
        <s v="PAPEL HIGIENICO"/>
        <s v="LICENCIAS SW"/>
        <s v="PROFESIONALES EN BASES DE DATOS"/>
        <s v="ALQUILER COMPUTADOR"/>
        <s v="SEÑALIZACION"/>
        <s v="BATAS"/>
        <s v="TAPETE DESINFECTANTE"/>
        <s v="PILAS"/>
        <s v="BOLSAS"/>
        <s v="MAQUINA DE DESINFECCION"/>
        <s v="SERVICIO DE DESINFECCION"/>
        <s v="CARPA"/>
        <s v="ASPERSOR"/>
        <s v="AMONIO"/>
        <s v="GALON"/>
        <s v="BUZONES"/>
        <s v="INSTALACION ELEMENTOS"/>
        <s v="DESINFECTANTE / DETERGENTE"/>
        <s v="PAÑOS DE LIMPIEZA"/>
        <s v="INTERCOMUNICADOR"/>
        <s v="PULSOXIMETRO"/>
        <s v="CAMILLA"/>
        <s v="SILLAS DE RUEDAS"/>
        <s v="KIT PREVENCION"/>
        <s v="DESFIBRILADORES"/>
        <s v="CONSULTORIA"/>
        <s v="PARLANTES"/>
        <s v="LECTORA CODIGO DE BARRAS"/>
        <s v="VINAGR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13">
  <r>
    <x v="0"/>
    <s v="CONTRATO DE COMPRAVENTA NRO 5"/>
    <s v="ADQUISICIÓN DE ELEMENTOS DE BIOSEGURIDAD CONSISTENTES EN TRAJES DE PROTECCIÓN CORPORAL, MONOGAFAS CON VENTILACIÓN Y GUANTES PARA LOS SERVIDORES JUDICIALES QUE EJERCEN FUNCIONES DE CONTROL DE GARANTÍAS DEL DISTRITO JUDICIAL DE ARMENIA Y ADMINISTRATIVO DEL QUINDÍO."/>
    <d v="2020-03-20T00:00:00"/>
    <d v="2020-03-20T00:00:00"/>
    <n v="2573970"/>
    <n v="0"/>
    <s v="TECHNICAL SOLUTIONS SAFETY SAS"/>
    <n v="901095058"/>
    <s v="TRAJE DE PROTECCION CORPORAL, TALLAS L Y XL "/>
    <n v="100"/>
    <s v="UNIDAD"/>
    <n v="15700"/>
    <n v="2983"/>
    <n v="1868300"/>
    <x v="0"/>
  </r>
  <r>
    <x v="0"/>
    <s v="CONTRATO DE COMPRAVENTA NRO 5"/>
    <s v="ADQUISICIÓN DE ELEMENTOS DE BIOSEGURIDAD CONSISTENTES EN TRAJES DE PROTECCIÓN CORPORAL, MONOGAFAS CON VENTILACIÓN Y GUANTES PARA LOS SERVIDORES JUDICIALES QUE EJERCEN FUNCIONES DE CONTROL DE GARANTÍAS DEL DISTRITO JUDICIAL DE ARMENIA Y ADMINISTRATIVO DEL QUINDÍO."/>
    <d v="2020-03-20T00:00:00"/>
    <d v="2020-03-20T00:00:00"/>
    <n v="2573970"/>
    <n v="0"/>
    <s v="TECHNICAL SOLUTIONS SAFETY SAS"/>
    <n v="901095058"/>
    <s v="GUANTES NITILSAFE VERDE 13&quot;"/>
    <n v="12"/>
    <s v="PAR"/>
    <n v="6500"/>
    <n v="1235"/>
    <n v="92820"/>
    <x v="1"/>
  </r>
  <r>
    <x v="0"/>
    <s v="CONTRATO DE COMPRAVENTA NRO 5"/>
    <s v="ADQUISICIÓN DE ELEMENTOS DE BIOSEGURIDAD CONSISTENTES EN TRAJES DE PROTECCIÓN CORPORAL, MONOGAFAS CON VENTILACIÓN Y GUANTES PARA LOS SERVIDORES JUDICIALES QUE EJERCEN FUNCIONES DE CONTROL DE GARANTÍAS DEL DISTRITO JUDICIAL DE ARMENIA Y ADMINISTRATIVO DEL QUINDÍO."/>
    <d v="2020-03-20T00:00:00"/>
    <d v="2020-03-20T00:00:00"/>
    <n v="2573970"/>
    <n v="0"/>
    <s v="TECHNICAL SOLUTIONS SAFETY SAS"/>
    <n v="901095058"/>
    <s v="MONOGAFAS WIND VENTILACION DIRECTA AF ANSI Z87"/>
    <n v="50"/>
    <s v="UNIDAD"/>
    <n v="10300"/>
    <n v="1957"/>
    <n v="612850"/>
    <x v="2"/>
  </r>
  <r>
    <x v="0"/>
    <s v="CONTRATO DE SUMININISTR NRO 7"/>
    <s v="ADQUISICIÓN DE ELEMENTOS DE PROTECCIÓN PERSONAL (TAPABOCAS) PARA LOS SERVIDORES JUDICIALES DEL DISTRITO DE ARMENIA Y ADMINISTRATIVO DEL QUINDÍO PARA LA PREVENCIÓN DEL CONTAGIO DE COVID-19."/>
    <d v="2020-03-26T00:00:00"/>
    <d v="2020-03-29T00:00:00"/>
    <n v="7000000"/>
    <n v="0"/>
    <s v="C.R. DOTACIONES Y UNIFORMES S.A.S"/>
    <n v="900173793"/>
    <s v="MASCARAS FACIALES EN EMPAQUE INDIVIDUAL DESECHABLES (TAPABOCAS DESECHABELES)"/>
    <n v="7000"/>
    <s v="UNIDAD"/>
    <n v="840.33609999999999"/>
    <n v="159.663859"/>
    <n v="6999999.7129999995"/>
    <x v="3"/>
  </r>
  <r>
    <x v="0"/>
    <s v="CONTRATO DE COMPRAVENTA NRO 8"/>
    <s v="ADQUISICIÓN DE ELEMENTOS DE LIMPIEZA Y DESINFECCIÓN (JABÓN ANTIBACTERIAL Y GEL ANTIBACTERIAL) PARA EL DISTRITO JUDICIAL DE ARMENIA Y ADMINISTRATIVO DEL QUINDÍO PARA LA PREVENCIÓN DEL CONTAGIO DE COVID-19."/>
    <d v="2020-04-02T00:00:00"/>
    <d v="2020-04-07T00:00:00"/>
    <n v="11804524"/>
    <n v="0"/>
    <s v="BERHLAN DE COLOMBIA S.A.S"/>
    <n v="900742771"/>
    <s v="GEL ANTIBACTERIAL "/>
    <n v="760"/>
    <s v="LITRO"/>
    <n v="11795.263156999999"/>
    <n v="2241.0999998299999"/>
    <n v="10667635.9991908"/>
    <x v="4"/>
  </r>
  <r>
    <x v="0"/>
    <s v="CONTRATO DE COMPRAVENTA NRO 8"/>
    <s v="ADQUISICIÓN DE ELEMENTOS DE LIMPIEZA Y DESINFECCIÓN (JABÓN ANTIBACTERIAL Y GEL ANTIBACTERIAL) PARA EL DISTRITO JUDICIAL DE ARMENIA Y ADMINISTRATIVO DEL QUINDÍO PARA LA PREVENCIÓN DEL CONTAGIO DE COVID-19."/>
    <d v="2020-04-02T00:00:00"/>
    <d v="2020-04-07T00:00:00"/>
    <n v="11804524"/>
    <n v="0"/>
    <s v="BERHLAN DE COLOMBIA S.A.S"/>
    <n v="900742771"/>
    <s v="JABON ANTIBACTERIAL "/>
    <n v="108"/>
    <s v="LITRO"/>
    <n v="8846"/>
    <n v="1680.74"/>
    <n v="1136887.92"/>
    <x v="5"/>
  </r>
  <r>
    <x v="0"/>
    <s v="CONTRATO DE PRESTACIÓN DE SERVICIOS NRO. 11 "/>
    <s v="EL SERVICIO DE VIGÍAS DE SALUD, CON EL FIN DE DAR CUMPLIMIENTO AL ACUERDO PCSJA20-11567 DEL 5 DE JUNIO DE 2020, Y SUS DISPOSICIONES EN CUANTO A LA APLICACIÓN DE LOS PROTOCOLOS DE BIOSEGURIDAD, EN LAS SEDES DE MAYOR AFLUENCIA DE PERSONAS EN EL DISTRITO JUDICIAL DE ARMENIA Y ADMINISTRATIVO DEL QUINDÍO"/>
    <d v="2020-06-17T00:00:00"/>
    <d v="2020-06-17T00:00:00"/>
    <n v="42000000"/>
    <n v="0"/>
    <s v="CRUZ ROJA COLOMBIANA SECCIONAL QUINDÍO "/>
    <n v="890000547"/>
    <s v="SERVICIO DE APOYO LOGISTICO (AUXILIARES DE ENFERMERAS) 7 EN 8 HORAS DIARIAS DE LUNES A VIERNES (3.5 MESES)"/>
    <n v="6"/>
    <s v="VALOR MENSUAL POR PERSONA"/>
    <n v="2000000"/>
    <n v="0"/>
    <n v="42000000"/>
    <x v="6"/>
  </r>
  <r>
    <x v="0"/>
    <s v="ORDEN DE COMPRA NRO. 48641-48642"/>
    <s v="LA ADQUISICIÓN DE ELEMENTOS DE LIMPIEZA Y DESINFECCIÓN Y ELEMENTOS DE PROTECCIÓN PERSONAL PARA LOS SERVIDORES JUDICIALES Y SEDES JUDICIALES DEL DISTRITO DE ARMENIA Y ADMINISTRATIVO DEL QUINDÍO, PARA LA PREVENCIÓN DEL CONTAGIO DE COVID-19."/>
    <d v="2020-05-16T00:00:00"/>
    <d v="2020-05-16T00:00:00"/>
    <n v="3675000"/>
    <n v="0"/>
    <s v="GRUPO CRUZ VELASQUEZ"/>
    <n v="901243179"/>
    <s v="TAPABOCAS DESECHABLES"/>
    <n v="4000"/>
    <s v="UNIDAD"/>
    <n v="772.05880000000002"/>
    <n v="146.69117199999999"/>
    <n v="3674999.8880000003"/>
    <x v="3"/>
  </r>
  <r>
    <x v="0"/>
    <s v="ORDEN DE COMPRA NRO. 48644"/>
    <s v="LA ADQUISICIÓN DE ELEMENTOS DE LIMPIEZA Y DESINFECCIÓN Y ELEMENTOS DE PROTECCIÓN PERSONAL PARA LOS SERVIDORES JUDICIALES Y SEDES JUDICIALES DEL DISTRITO DE ARMENIA Y ADMINISTRATIVO DEL QUINDÍO, PARA LA PREVENCIÓN DEL CONTAGIO DE COVID-19."/>
    <d v="2020-05-16T00:00:00"/>
    <d v="2020-05-16T00:00:00"/>
    <n v="2546740"/>
    <n v="0"/>
    <s v="GRUPO EMPRESARIAL DE ASESORIAS Y SERVICIOS DE COLOMBIA S.A.S"/>
    <n v="900906970"/>
    <s v="PAPEL VINIPEL ROLLO MINIMO DE 12.5 CM X 200 M"/>
    <n v="130"/>
    <s v="ROLLO"/>
    <n v="16462.439999999999"/>
    <n v="3127.8635999999997"/>
    <n v="2546739.4679999999"/>
    <x v="7"/>
  </r>
  <r>
    <x v="0"/>
    <s v="ORDEN DE COMPRA NRO. 48645"/>
    <s v="LA ADQUISICIÓN DE ELEMENTOS DE LIMPIEZA Y DESINFECCIÓN Y ELEMENTOS DE PROTECCIÓN PERSONAL PARA LOS SERVIDORES JUDICIALES Y SEDES JUDICIALES DEL DISTRITO DE ARMENIA Y ADMINISTRATIVO DEL QUINDÍO, PARA LA PREVENCIÓN DEL CONTAGIO DE COVID-19."/>
    <d v="2020-05-16T00:00:00"/>
    <d v="2020-05-16T00:00:00"/>
    <n v="7646052"/>
    <n v="0"/>
    <s v="INDUHOTEL S.A.S"/>
    <n v="900300970"/>
    <s v="TOALLA PARA MANOS ROLLO LONGITUD MINIMA DE 100 METROS"/>
    <n v="400"/>
    <s v="ROLLO"/>
    <n v="16063.13"/>
    <n v="3051.9946999999997"/>
    <n v="7646049.8799999999"/>
    <x v="8"/>
  </r>
  <r>
    <x v="0"/>
    <s v="ORDEN DE COMPRA NRO. 48646"/>
    <s v="LA ADQUISICIÓN DE ELEMENTOS DE LIMPIEZA Y DESINFECCIÓN Y ELEMENTOS DE PROTECCIÓN PERSONAL PARA LOS SERVIDORES JUDICIALES Y SEDES JUDICIALES DEL DISTRITO DE ARMENIA Y ADMINISTRATIVO DEL QUINDÍO, PARA LA PREVENCIÓN DEL CONTAGIO DE COVID-19."/>
    <d v="2020-05-16T00:00:00"/>
    <d v="2020-05-16T00:00:00"/>
    <n v="12450001"/>
    <n v="0"/>
    <s v="SUMIMAS S.A.S"/>
    <n v="830001338"/>
    <s v="GEL ANTIBACTERIAL "/>
    <n v="1520"/>
    <s v="LITRO"/>
    <n v="6883.0169159999996"/>
    <n v="1307.7732140399999"/>
    <n v="12450000.997660799"/>
    <x v="4"/>
  </r>
  <r>
    <x v="0"/>
    <s v="ORDEN DE COMPRA NRO. 49824"/>
    <s v="LA ADQUISICIÓN DE LAVAMANOS PARA GARANTIZAR EL CUMPLIMIENTO DE LAS NORMAS MÍNIMAS DE ASEPSIA PERMANENTE PARA LOS SERVIDORES JUDICIALES COMO PARA LOS CLIENTES EXTERNOS Y PÚBLICO EN GENERAL QUE ASISTE AL PALACIO DE JUSTICIA “FABIO CALDERÓN BOTERO” DE ARMENIA Y “RAFAEL URIBE URIBE” DE CALARCÁ QUINDÍO."/>
    <d v="2020-06-03T00:00:00"/>
    <d v="2020-06-03T00:00:00"/>
    <n v="3379880"/>
    <n v="0"/>
    <s v="COLOMBIANA DE COMERCIO S.A. Y/O ALKOSTO S.A."/>
    <n v="890900943"/>
    <s v="LAVAMANOS PEDESTAL AUTOPORTANTE EN ACERO INOXIDABLE."/>
    <n v="7"/>
    <s v="UNIDAD"/>
    <n v="405747.9"/>
    <n v="77092.10100000001"/>
    <n v="3379880.0070000002"/>
    <x v="9"/>
  </r>
  <r>
    <x v="0"/>
    <s v="ORDEN DE COMPRA NRO. 49825"/>
    <s v="LA ADQUISICIÓN DE ELEMENTOS DE PROTECCIÓN PERSONAL PARA LOS SERVIDORES JUDICIALES DEL DISTRITO DE ARMENIA Y ADMINISTRATIVO DEL QUINDÍO, PARA PREVENIR LA PROPAGACIÓN Y EL CONTAGIO DEL COVID-19."/>
    <d v="2020-06-03T00:00:00"/>
    <d v="2020-06-03T00:00:00"/>
    <n v="6047350"/>
    <n v="0"/>
    <s v="OFIBEST S.A.S"/>
    <n v="900350133"/>
    <s v="GUANTES DE NITRILO"/>
    <n v="110"/>
    <s v="CAJA X 100"/>
    <n v="46198.239999999998"/>
    <n v="8777.6656000000003"/>
    <n v="6047349.6159999995"/>
    <x v="10"/>
  </r>
  <r>
    <x v="0"/>
    <s v="ORDEN DE COMPRA NRO. 50019"/>
    <s v="LA ADQUISICIÓN DE ELEMENTOS DE PROTECCIÓN PERSONAL (CARETAS-VISORES) PARA LOS SERVIDORES JUDICIALES DISTRITO DE ARMENIA Y ADMINISTRATIVO DEL QUINDÍO, PARA LA PREVENCIÓN DEL CONTAGIO DE COVID-19"/>
    <d v="2020-06-05T00:00:00"/>
    <d v="2020-06-05T00:00:00"/>
    <n v="9023000"/>
    <n v="0"/>
    <s v="ABBAPLAX S.A.S"/>
    <n v="860062147"/>
    <s v="CARETAS VISORES (PROTECTOR FACIAL)"/>
    <n v="671"/>
    <s v="UNIDAD"/>
    <n v="11300.08"/>
    <n v="2147.0151999999998"/>
    <n v="9023000.8792000003"/>
    <x v="11"/>
  </r>
  <r>
    <x v="0"/>
    <s v="ORDEN DE COMPRA NRO. 50957"/>
    <s v="LA ADQUISICIÓN DE KIT´S DE GRIFERÍA PARA LAVAMANOS AUTOPORTANTES QUE SE VAN A UBICAR EN EL PALACIO DE JUSTICIA “FABIO CALDERÓN BOTERO” DE ARMENIA Y “RAFAEL URIBE URIBE” DE CALARCÁ QUINDÍO, CON EL FIN DE PREVENIR LA PROPAGACIÓN Y EL CONTAGIO DEL COVID-19."/>
    <d v="2020-06-25T00:00:00"/>
    <d v="2020-06-25T00:00:00"/>
    <n v="1631000"/>
    <n v="0"/>
    <s v="COLOMBIANA DE COMERCIO S.A. Y/O ALKOSTO S.A."/>
    <n v="890900943"/>
    <s v="KIT DE GRIFERIA PARA LAVAMANOS (VALVULA DE PEDAL, 2 MANGUERAS DE ENTRADA Y SALIDA, MEDIDAS 1 MT X 6,0 CM Y EL PICO"/>
    <n v="7"/>
    <s v="UNIDAD"/>
    <n v="195798.32"/>
    <n v="37201.680800000002"/>
    <n v="1631000.0056"/>
    <x v="9"/>
  </r>
  <r>
    <x v="0"/>
    <s v="ORDEN DE COMPRA NRO. 51298"/>
    <s v="LA ADQUISICIÓN DE DISPENSADORES PARA GEL Y/O JABÓN, PARA LOS SERVIDORES JUDICIALES, JUDICANTES Y USUARIOS DE LA JUSTICIA EN GENERAL DE LAS SEDES DEL DISTRITO JUDICIAL DE ARMENIA Y ADMINISTRATIVO DEL QUINDÍO, PARA PREVENIR LA PROPAGACIÓN Y EL CONTAGIO DE COVID-19."/>
    <d v="2020-06-30T00:00:00"/>
    <d v="2020-06-30T00:00:00"/>
    <n v="11342250"/>
    <n v="0"/>
    <s v="COLOMBIANA DE COMERCIO S.A. Y/O ALKOSTO S.A."/>
    <n v="890900943"/>
    <s v="DISPENSADOR DE GEL Y/O JABÓN ESTRUCTURA PVC"/>
    <n v="45"/>
    <s v="UNIDAD"/>
    <n v="211806.72"/>
    <n v="40243.2768"/>
    <n v="11342249.856000001"/>
    <x v="12"/>
  </r>
  <r>
    <x v="0"/>
    <s v="CONTRATO DE SUMINISTRO NRO. 13"/>
    <s v="SUMINISTRO E INSTALACIÓN DE PANTALLAS EN VIDRIO TEMPLADO Y ACERO, QUE GARANTICEN LA PROTECCIÓN Y DISTANCIAMIENTO SOCIAL ENTRE LOS SERVIDORES JUDICIALES Y PÚBLICO EN GENERAL QUE ASISTE A LAS INSTALACIONES DONDE FUNCIONAN Y ADMINISTRAN JUSTICIA LOS JUECES DE LOS MUNICIPIOS QUE PERTENECEN AL DEPARTAMENTO DEL QUINDÍO Y ALGUNAS SEDES JUDICIALES EN ARMENIA QUINDÍO, CON EL FIN DE MITIGAR Y CONTROLAR LA PROPAGACIÓN DEL VIRUS COVID-19”."/>
    <d v="2020-07-17T00:00:00"/>
    <d v="2020-07-27T00:00:00"/>
    <n v="17828727"/>
    <n v="0"/>
    <s v="JUAN DAVID ECHEVERRY PAEZ"/>
    <n v="1030574087"/>
    <s v="PANTALLA MODULAR EN VIDRIO TEMPLADO DE 6MM, CON TUBO DE SUJECCIÓN DE 1 1/4 DE ACERO Y HERRAJE - DE 1.00 MT X 080 MTS DE ALTURA"/>
    <n v="60"/>
    <s v="UNIDAD"/>
    <n v="297145.45"/>
    <n v="0"/>
    <n v="17828727"/>
    <x v="13"/>
  </r>
  <r>
    <x v="0"/>
    <s v="ORDEN DE COMPRA NRO. 53415"/>
    <s v="ALQUILER DE ESCÁNERES CON EL FIN DE GARANTIZAR LA DIGITALIZACIÓN DE LOS EXPEDIENTES JUDICIALES PARA LA RAMA JUDICIAL EN EL DISTRITO JUDICIAL DE ARMENIA Y ADMINISTRATIVO DEL QUINDÍO"/>
    <d v="2020-08-11T00:00:00"/>
    <d v="2020-09-01T00:00:00"/>
    <n v="37425024"/>
    <n v="0"/>
    <s v="SOLUTION COPY LTDA"/>
    <n v="830053669"/>
    <s v="ESCANER VERTICAL A4 MINIMO 6.000 PAGINA, MINIMO 60PPM POR 3 MESES"/>
    <n v="78"/>
    <s v="VALOR MENSUAL POR EQUIPO"/>
    <n v="134400"/>
    <n v="25536"/>
    <n v="37425024"/>
    <x v="14"/>
  </r>
  <r>
    <x v="0"/>
    <s v="ORDEN DE COMPRA NRO. 52500"/>
    <s v="ADQUISICIÓN DE CANECAS DE PEDAL DE COLOR NEGRO, DESTINADAS PARA LA DISPOSICIÓN FINAL DE LOS TAPABOCAS Y GUANTES DESECHABLES PARA CADA UNA DE LAS SEDES JUDICIALES DEL DISTRITO JUDICIAL Y ADMINISTRATIVO DEL QUINDÍO"/>
    <d v="2020-07-23T00:00:00"/>
    <d v="2020-07-23T00:00:00"/>
    <n v="3474800"/>
    <n v="0"/>
    <s v="PANAMERICANA LIBRERÍA Y_x000a_PAPELERÍA S.A."/>
    <n v="830037946"/>
    <s v="PAPELERA DE PEDAL CUADRADA NEGRA DE 20 LITROS MATERIAL PLASTICO"/>
    <n v="73"/>
    <s v="UNIDAD"/>
    <n v="47600"/>
    <n v="0"/>
    <n v="3474800"/>
    <x v="15"/>
  </r>
  <r>
    <x v="0"/>
    <s v="ORDEN DE COMPRA NRO. 42170"/>
    <s v="LA PRESTACIÓN DE LOS SERVICIOS DE ASEO, MANTENIMIENTO Y SUMINISTRO DE ELEMENTOS DE ASEO Y CAFETERÍA, PARA LAS SEDES DONDE FUNCIONAN LOS DESPACHOS JUDICIALES Y SEDES ADMINISTRATIVAS A CARGO DE LA DIRECCIÓN SECCIONAL DE ADMINISTRACIÓN JUDICIAL DE ARMENIA, QUINDÍO.”"/>
    <d v="2020-07-02T00:00:00"/>
    <d v="2020-07-02T00:00:00"/>
    <n v="64760194"/>
    <n v="0"/>
    <s v="LADOINSA LABORES DOTACIONES INDUSTRIALES S.A.S"/>
    <n v="800242738"/>
    <s v="OPERARIO DE ASEO POR 3 MESES 7 DIAS"/>
    <n v="13"/>
    <s v="VALOR MENSUAL POR PERSONA"/>
    <n v="1540686.61"/>
    <n v="0"/>
    <n v="64760193.840333343"/>
    <x v="16"/>
  </r>
  <r>
    <x v="0"/>
    <s v="ORDEN DE COMPRA NRO. 53415"/>
    <s v="ALQUILER DE ESCÁNERES CON EL FIN DE GARANTIZAR LA DIGITALIZACIÓN DE LOS EXPEDIENTES JUDICIALES PARA LA RAMA JUDICIAL EN EL DISTRITO JUDICIAL DE ARMENIA Y ADMINISTRATIVO DEL QUINDÍO"/>
    <d v="2020-08-11T00:00:00"/>
    <d v="2020-09-01T00:00:00"/>
    <n v="37425024"/>
    <n v="6237504.7999999998"/>
    <s v="SOLUTION COPY LTDA"/>
    <n v="830053669"/>
    <s v="ESCANER VERTICAL A4 MINIMO 6.000 PAGINA, MINIMO 60PPM POR 3 MESES 7 15 DÍAS "/>
    <n v="78"/>
    <s v="VALOR MENSUAL POR EQUIPO"/>
    <n v="134400"/>
    <n v="25536"/>
    <n v="43662528"/>
    <x v="14"/>
  </r>
  <r>
    <x v="0"/>
    <s v="ORDEN DE COMPRA NRO. 54685"/>
    <s v="LA ADQUISICIÓN E INSTALACIÓN DE ESCÁNERES CON EL FIN DE GARANTIZAR LA DIGITALIZACIÓN DE LOS EXPEDIENTES JUDICIALES PARA LA RAMA JUDICIAL EN EL DISTRITO JUDICIAL DE ARMENIA Y ADMINISTRATIVO DEL QUINDÍO"/>
    <d v="2020-09-03T00:00:00"/>
    <d v="2020-09-03T00:00:00"/>
    <n v="145878411"/>
    <n v="0"/>
    <s v="GRUPO EMPRESARIAL CREAR DE COLOMBIA S.A.S."/>
    <n v="830053669"/>
    <s v="ESCANERES A4 CAMAPLANA MINIMO 10.000 PAG MINIMO 70 PPM CON INSTALACION"/>
    <n v="75"/>
    <s v="UNIDAD"/>
    <n v="1634492"/>
    <n v="310553.48"/>
    <n v="145878411"/>
    <x v="17"/>
  </r>
  <r>
    <x v="0"/>
    <s v="ORDEN DE COMPRA NRO. 57425"/>
    <s v="LA ADQUISICIÓN DE ELEMENTOS DE PROTECCIÓN PERSONAL (GUANTES DE NITRILO, TOALLAS DESECHABLES, Y ATOMIZADORES) PARA LOS SERVIDORES JUDICIALES Y SEDES JUDICIALES DE ARMENIA Y ADMINISTRATIVO DEL QUINDÍO, PARA LA PREVENCIÓN Y CONTAGIO DE COVID-19"/>
    <d v="2020-10-29T00:00:00"/>
    <d v="2020-10-29T00:00:00"/>
    <n v="2977500"/>
    <n v="0"/>
    <s v="JM GRUPO EMPRESARIAL S.A.S"/>
    <n v="900353659"/>
    <s v="TOALLA PARA MANOS ROLLO LONGITUD MINIMA DE 100 METROS"/>
    <n v="250"/>
    <s v="ROLLO"/>
    <n v="9000"/>
    <n v="1710"/>
    <n v="2677500"/>
    <x v="8"/>
  </r>
  <r>
    <x v="0"/>
    <s v="CONTRATO DE PRESTACIÓN DE SERVICIOS NRO. 16"/>
    <s v="PRESTACIÓN DEL SERVICIO DE VIGÍAS DE SALUD, CON EL FIN DE DAR CUMPLIMIENTO AL ACUERDO PCSJA20-11632 DEL 30 DE SEPTIEMBRE DE 2020, Y SUS DISPOSICIONES EN CUANTO A LA APLICACIÓN DE LOS PROTOCOLOS DE BIOSEGURIDAD, EN LAS SEDES DE MAYOR AFLUENCIA DE PERSONAS EN EL DISTRITO JUDICIAL DE ARMENIA Y ADMINISTRATIVO DEL QUINDÍO"/>
    <d v="2020-10-02T00:00:00"/>
    <d v="2020-10-05T00:00:00"/>
    <n v="44266888"/>
    <n v="0"/>
    <s v="CRUZ ROJA COLOMBIANA SECCIONAL QUINDÍO "/>
    <n v="890000547"/>
    <s v="SERVICIO DE APOYO LOGISTICO (AUXILIARES DE ENFERMERAS) 8 EN 8 HORAS DIARIAS DE LUNES A VIERNES (HASTA 31 DE DICIEMBRE DE 2020)"/>
    <n v="8"/>
    <s v="VALOR MENSUAL POR PERSONA"/>
    <n v="2000010"/>
    <n v="0"/>
    <n v="44266886.933328003"/>
    <x v="6"/>
  </r>
  <r>
    <x v="0"/>
    <s v="CONTRATO DE COMPRAVENTA NRO. 17"/>
    <s v="LA ADQUISICIÓN DE TAPABOCAS DESECHABLES PARA LOS SERVIDORES JUDICIALES DEL DISTRITO JUDICIAL DE ARMENIA Y ADMINISTRATIVO DEL QUINDÍO, PARA LA PREVENCIÓN DEL COVID-19"/>
    <d v="2020-10-26T00:00:00"/>
    <d v="2020-11-05T00:00:00"/>
    <n v="6750000"/>
    <n v="0"/>
    <s v="INVERSIONES VELASQUEZ SAS"/>
    <n v="901189640"/>
    <s v="TAPABOCAS DESECHABLES "/>
    <n v="540"/>
    <s v="UNIDAD"/>
    <n v="12500"/>
    <n v="0"/>
    <n v="6750000"/>
    <x v="3"/>
  </r>
  <r>
    <x v="0"/>
    <s v="ORDEN DE COMPRA NRO. 56359"/>
    <s v="ADQUISICIÓN DE CÁMARAS WEB_x000a_Y DIADEMAS PARA EL FORTALECIMIENTO DE LA_x000a_INFRAESTRUCTURA TECNOLÓGICA DE LOS_x000a_DESPACHOS JUDICIALES Y ADMINISTRATIVOS_x000a_DEL QUINDÍO"/>
    <d v="2020-10-09T00:00:00"/>
    <d v="2020-10-09T00:00:00"/>
    <n v="86384200"/>
    <n v="0"/>
    <s v="GRUPO EMPRESARIAL CREAR DE COLOMBIA S.A.S."/>
    <n v="830053669"/>
    <s v="CAMARAS WEB"/>
    <n v="122"/>
    <s v="UNIDAD"/>
    <n v="242000"/>
    <n v="45980"/>
    <n v="35133560"/>
    <x v="18"/>
  </r>
  <r>
    <x v="0"/>
    <s v="ORDEN DE COMPRA NRO. 56359"/>
    <s v="ADQUISICIÓN DE CÁMARAS WEB_x000a_Y DIADEMAS PARA EL FORTALECIMIENTO DE LA_x000a_INFRAESTRUCTURA TECNOLÓGICA DE LOS_x000a_DESPACHOS JUDICIALES Y ADMINISTRATIVOS_x000a_DEL QUINDÍO"/>
    <d v="2020-10-09T00:00:00"/>
    <d v="2020-10-09T00:00:00"/>
    <n v="86384200"/>
    <n v="0"/>
    <s v="GRUPO EMPRESARIAL CREAR DE COLOMBIA S.A.S."/>
    <n v="830053669"/>
    <s v="DIADEMAS"/>
    <n v="248"/>
    <s v="UNIDAD"/>
    <n v="172000"/>
    <n v="32680"/>
    <n v="50760640"/>
    <x v="19"/>
  </r>
  <r>
    <x v="0"/>
    <s v="ORDEN DE COMPRA NRO. 62754"/>
    <s v="LA ADQUISICIÓN DE ELEMENTOS_x000a_DE PROTECCIÓN PERSONAL (ATOMIZADORES)_x000a_PARA LOS SERVIDORES JUDICIALES Y SEDES_x000a_JUDICIALES DEL DISTRITO DE ARMENIA Y_x000a_ADMINISTRATIVO DEL QUINDÍO, PARA LA_x000a_PREVENCIÓN DEL CONTAGIO DE COVID-19"/>
    <d v="2020-12-23T00:00:00"/>
    <d v="2020-12-23T00:00:00"/>
    <n v="708360"/>
    <n v="0"/>
    <s v="PAPER BOX SP S.A.S"/>
    <n v="900791672"/>
    <s v="ATOMIZADORES"/>
    <n v="300"/>
    <s v="UNIDAD"/>
    <n v="1480"/>
    <n v="281.2"/>
    <n v="528360"/>
    <x v="20"/>
  </r>
  <r>
    <x v="0"/>
    <s v="ORDEN DE COMPRA NRO. 62808"/>
    <s v="LA ADQUISICIÓN E INSTALACIONDE COMPUTADORES PARA LOS DESPACHOSJUDICIALES, ASÍ COMO DE DISPOSITIVOSPERIFÉRICOS PARA LA DIGITALIZACIÓN DEEXPEDIENTES DE LOS DESPACHOS JUDICIALESDEL DISTRITO JUDICIAL DE ARMENIA YADMINISTRATIVO DEL QUINDÍO”."/>
    <d v="2020-12-24T00:00:00"/>
    <d v="2021-12-24T00:00:00"/>
    <n v="97199676"/>
    <n v="0"/>
    <s v="GRUPO EMPRESARIAL CREAR DE COLOMBIA S.A.S."/>
    <n v="900564459"/>
    <s v="ESCANERES A4 VERTICAL MINIMO 9.000 PAG, MINIMO 70 PPM, CON INSTALACIÓN"/>
    <n v="54"/>
    <s v="UNIDAD"/>
    <n v="1512600"/>
    <n v="287394"/>
    <n v="97199676"/>
    <x v="17"/>
  </r>
  <r>
    <x v="0"/>
    <s v="ORDEN DE COMPRA NRO. 62809"/>
    <s v="LA ADQUISICIÓN E INSTALACIONDE COMPUTADORES PARA LOS DESPACHOSJUDICIALES, ASÍ COMO DE DISPOSITIVOSPERIFÉRICOS PARA LA DIGITALIZACIÓN DEEXPEDIENTES DE LOS DESPACHOS JUDICIALESDEL DISTRITO JUDICIAL DE ARMENIA YADMINISTRATIVO DEL QUINDÍO”."/>
    <d v="2020-12-24T00:00:00"/>
    <d v="2021-12-24T00:00:00"/>
    <n v="247407247.5"/>
    <n v="0"/>
    <s v="NEX COMPUTER S.A.S"/>
    <n v="830110570"/>
    <s v="COMPUTADORES WIN 10 PRO 64 BITS3400 INTERMEDIA NA HDD + SSD 1 TB7200 RPM + 256 GB PCIE 8 GB, CON SERVICIO INSTALACIONSOFTWARE Y CONFIGURACION DEL ETP ETP, CON SERVICIO MIGRACION OTRANSFERENCIA DE DATOS GB POR ETP, CON ACCESORIO UNIDAD OPTICAEXTERNA UNIDAD, DVD/CD +/- R"/>
    <n v="105"/>
    <s v="UNIDAD"/>
    <n v="1980050"/>
    <n v="376209.5"/>
    <n v="247407247.5"/>
    <x v="21"/>
  </r>
  <r>
    <x v="0"/>
    <s v="CONTRATO DE COMPRAVENTA NRO. 39"/>
    <s v="LA ADQUISICIÓN DE TERMÓMETROS INFRARROJOS DE USO CORPORAL PARA LAPREVENCIÓN DEL COVID-19"/>
    <d v="2020-12-04T00:00:00"/>
    <d v="2020-12-11T00:00:00"/>
    <n v="2000000"/>
    <n v="0"/>
    <s v="RQC SOLUTIONS S.A.S"/>
    <n v="900306905"/>
    <s v="TERMÓMETROS"/>
    <n v="25"/>
    <s v="UNIDAD"/>
    <n v="80000"/>
    <n v="0"/>
    <n v="2000000"/>
    <x v="22"/>
  </r>
  <r>
    <x v="0"/>
    <s v="ORDEN DE COMPRA NRO. 42170"/>
    <s v="LA PRESTACIÓN DE LOS SERVICIOS DE ASEO, MANTENIMIENTO Y SUMINISTRO DE ELEMENTOS DE ASEO Y CAFETERÍA, PARA LAS SEDES DONDE FUNCIONAN LOS DESPACHOS JUDICIALES Y SEDES ADMINISTRATIVAS A CARGO DE LA DIRECCIÓN SECCIONAL DE ADMINISTRACIÓN JUDICIAL DE ARMENIA, QUINDÍO.”"/>
    <d v="2020-10-07T00:00:00"/>
    <d v="2020-10-08T00:00:00"/>
    <n v="30043389"/>
    <n v="0"/>
    <s v="LADOINSA LABORES DOTACIONES INDUSTRIALES S.A.S"/>
    <n v="800242738"/>
    <s v="OPERARIO DE ASEO POR 1 MESE 15 DIAS"/>
    <n v="13"/>
    <s v="VALOR MENSUAL POR PERSONA"/>
    <n v="1540686.61"/>
    <n v="0"/>
    <n v="30043388.895"/>
    <x v="16"/>
  </r>
  <r>
    <x v="0"/>
    <s v="ORDEN DE COMPRA NRO. 59254"/>
    <s v="LA PRESTACIÓN DE LOS SERVICIOS DE ASEO, CAFETERÍA, MANTENIMIENTO Y SUMINISTRO DE ELEMENTOS DE ASEO Y CAFETERÍA PARA LOS DESPACHOS JUDICIALES Y SEDES ADMINISTRATIVAS A CARGO DE LA DIRECCIÓN SECCIONAL DE ADMINISTRACIÓN JUDICIAL DE ARMENIA QUINDÍO"/>
    <d v="2020-11-30T00:00:00"/>
    <d v="2020-12-01T00:00:00"/>
    <n v="59919511.039999999"/>
    <n v="0"/>
    <s v="UT BIOLIMPIEZA"/>
    <n v="901351365"/>
    <s v="OPERARIO DE ASEO POR 3 MESES "/>
    <n v="13"/>
    <s v="VALOR MENSUAL POR PERSONA"/>
    <n v="1648042"/>
    <n v="0"/>
    <n v="64273638"/>
    <x v="16"/>
  </r>
  <r>
    <x v="1"/>
    <s v="010-2020"/>
    <s v="CONTRATAR EL SUMINISTRO DE ELEMENTOS Y MATERIALES NECESARIOS PARA ATENDER LA URGENCIA MANIFIESTA Y PREVENIR EL CONTAGIO DEL COVID-19."/>
    <d v="2020-03-18T00:00:00"/>
    <d v="2020-03-18T00:00:00"/>
    <n v="7176804"/>
    <n v="0"/>
    <s v="ESTRATEGIAS S.A.S"/>
    <n v="800031358"/>
    <s v="BLANQUEADOR MARCA PROPIA HIPOCLORITO 5,25% CUÑETE 5GL "/>
    <n v="400"/>
    <s v="LITRO"/>
    <n v="2158.35"/>
    <n v="410.0865"/>
    <n v="1027374.5999999999"/>
    <x v="23"/>
  </r>
  <r>
    <x v="1"/>
    <s v="010-2020"/>
    <s v="CONTRATAR EL SUMINISTRO DE ELEMENTOS Y MATERIALES NECESARIOS PARA ATENDER LA URGENCIA MANIFIESTA Y PREVENIR EL CONTAGIO DEL COVID-19."/>
    <d v="2020-03-18T00:00:00"/>
    <d v="2020-03-18T00:00:00"/>
    <n v="7176804"/>
    <n v="0"/>
    <s v="ESTRATEGIAS S.A.S"/>
    <n v="800031358"/>
    <s v="GUANTE LATEX SIN POLVO TALLA L (CAJA X 100)"/>
    <n v="18"/>
    <s v="CAJA X 100"/>
    <n v="14000.000000000002"/>
    <n v="2660.0000000000005"/>
    <n v="299880.00000000006"/>
    <x v="24"/>
  </r>
  <r>
    <x v="1"/>
    <s v="010-2020"/>
    <s v="CONTRATAR EL SUMINISTRO DE ELEMENTOS Y MATERIALES NECESARIOS PARA ATENDER LA URGENCIA MANIFIESTA Y PREVENIR EL CONTAGIO DEL COVID-19."/>
    <d v="2020-03-18T00:00:00"/>
    <d v="2020-03-18T00:00:00"/>
    <n v="7176804"/>
    <n v="0"/>
    <s v="ESTRATEGIAS S.A.S"/>
    <n v="800031358"/>
    <s v="GUANTE LATEX SIN POLVO TALLA M (CAJA X 100)"/>
    <n v="18"/>
    <s v="CAJA X 100"/>
    <n v="14000.000000000002"/>
    <n v="2660.0000000000005"/>
    <n v="299880.00000000006"/>
    <x v="24"/>
  </r>
  <r>
    <x v="1"/>
    <s v="010-2020"/>
    <s v="CONTRATAR EL SUMINISTRO DE ELEMENTOS Y MATERIALES NECESARIOS PARA ATENDER LA URGENCIA MANIFIESTA Y PREVENIR EL CONTAGIO DEL COVID-19."/>
    <d v="2020-03-18T00:00:00"/>
    <d v="2020-03-18T00:00:00"/>
    <n v="7176804"/>
    <n v="0"/>
    <s v="ESTRATEGIAS S.A.S"/>
    <n v="800031358"/>
    <s v="JABON LIQUIDO DE MANOS ANTIBACTERIAL PERLADO"/>
    <n v="64.599999999999994"/>
    <s v="LITRO"/>
    <n v="6557.105263157895"/>
    <n v="1245.8500000000001"/>
    <n v="504070.91"/>
    <x v="5"/>
  </r>
  <r>
    <x v="1"/>
    <s v="010-2020"/>
    <s v="CONTRATAR EL SUMINISTRO DE ELEMENTOS Y MATERIALES NECESARIOS PARA ATENDER LA URGENCIA MANIFIESTA Y PREVENIR EL CONTAGIO DEL COVID-19."/>
    <d v="2020-03-18T00:00:00"/>
    <d v="2020-03-18T00:00:00"/>
    <n v="7176804"/>
    <n v="0"/>
    <s v="ESTRATEGIAS S.A.S"/>
    <n v="800031358"/>
    <s v="TOALLA DE MANOS DOBLADA EN Z HOJA X 150 HOJAS"/>
    <n v="703"/>
    <s v="PAQUETE"/>
    <n v="4133"/>
    <n v="785.27"/>
    <n v="3457543.8100000005"/>
    <x v="8"/>
  </r>
  <r>
    <x v="1"/>
    <s v="010-2020"/>
    <s v="CONTRATAR EL SUMINISTRO DE ELEMENTOS Y MATERIALES NECESARIOS PARA ATENDER LA URGENCIA MANIFIESTA Y PREVENIR EL CONTAGIO DEL COVID-19."/>
    <d v="2020-03-18T00:00:00"/>
    <d v="2020-03-18T00:00:00"/>
    <n v="7176804"/>
    <n v="0"/>
    <s v="ESTRATEGIAS S.A.S"/>
    <n v="800031358"/>
    <s v="TRAJE KLEENGUARD A35 CONTRA LIQUIDO"/>
    <n v="100"/>
    <s v="UNIDAD"/>
    <n v="13345.000000000002"/>
    <n v="2535.5500000000002"/>
    <n v="1588055.0000000002"/>
    <x v="0"/>
  </r>
  <r>
    <x v="1"/>
    <s v="011-2020"/>
    <s v="CONTRATAR LA PRESTACIÓN DEL SERVICIO DE MANTENIMIENTO CORRECTIVO DE LAS TERMINALES DE MEDIA TENSIÓN Y ACOMETIDA PRINCIPAL DEL EDIFICIO LARA BONILLA DENTRO DE LA URGENCIA MANIFIESTA DECRETADA POR EL COVID-19."/>
    <d v="2020-04-24T00:00:00"/>
    <d v="2020-04-24T00:00:00"/>
    <n v="5103664"/>
    <n v="0"/>
    <s v="SELECTRIK S.A.S"/>
    <n v="900843992"/>
    <s v="MANTENIMIENTO CORRECTIVO DE  LAS  TERMINALES  DE  MEDIA  TENSIÓN Y ACOMETIDA PRINCIPAL   DEL   EDIFICIO   LARA   BONILLA"/>
    <n v="1"/>
    <s v="SERVICIO"/>
    <n v="4288793"/>
    <n v="814870.67"/>
    <n v="5103663.67"/>
    <x v="25"/>
  </r>
  <r>
    <x v="1"/>
    <s v="017-2020"/>
    <s v="CONTRATAR LA ADQUISICIÓN DE ALCOHOL Y TOALLAS DESECHABLES, PARA MEDIDAS DE AUTOCUIDADO Y COLECTIVAS PARA EL REGRESO A LOS DIFERENTES AMBIENTES LABORALES, MITIGANDO Y CONTENIENDO EL CONTAGIO DE COVID-19 EN LOS SERVIDORES DE LA RAMA JUDICIAL DE LOS DESPACHOS JUDICIALES Y SEDES ADMINISTRATIVAS, A TRAVÉS DEL LAVADO DE MANOS.."/>
    <d v="2020-05-15T00:00:00"/>
    <d v="2020-05-15T00:00:00"/>
    <n v="10515900"/>
    <n v="0"/>
    <s v="SUMIMAS S.A.S."/>
    <n v="830001338"/>
    <s v="TOALLA PARA MANOS 3 UND"/>
    <n v="1000"/>
    <s v="PAQUETE"/>
    <n v="5373"/>
    <n v="0"/>
    <n v="5373000"/>
    <x v="8"/>
  </r>
  <r>
    <x v="1"/>
    <s v="017-2020"/>
    <s v="CONTRATAR LA ADQUISICIÓN DE ALCOHOL Y TOALLAS DESECHABLES, PARA MEDIDAS DE AUTOCUIDADO Y COLECTIVAS PARA EL REGRESO A LOS DIFERENTES AMBIENTES LABORALES, MITIGANDO Y CONTENIENDO EL CONTAGIO DE COVID-19 EN LOS SERVIDORES DE LA RAMA JUDICIAL DE LOS DESPACHOS JUDICIALES Y SEDES ADMINISTRATIVAS, A TRAVÉS DEL LAVADO DE MANOS.."/>
    <d v="2020-05-15T00:00:00"/>
    <d v="2020-05-15T00:00:00"/>
    <n v="10515900"/>
    <n v="0"/>
    <s v="SUMIMAS S.A.S."/>
    <n v="830001338"/>
    <s v="ALCOHOL "/>
    <n v="400"/>
    <s v="LITRO"/>
    <n v="12857.25"/>
    <n v="0"/>
    <n v="5142900"/>
    <x v="26"/>
  </r>
  <r>
    <x v="1"/>
    <s v="018-2020"/>
    <s v="CONTRATAR LA ADQUISICIÓN DE ALCOHOL ISOPROPILICO PARA MEDIDAS DE AUTOCUIDADO Y COLECTIVAS PARA EL REGRESO A LOS DIFERENTES AMBIENTES LABORALES, MITIGANDO Y CONTENIENDO EL CONTAGIO DE COVID-19 EN LOS SERVIDORES DE LA RAMA JUDICIAL DE LOS DESPACHOS JUDICIALES Y SEDES ADMINISTRATIVAS."/>
    <d v="2020-05-15T00:00:00"/>
    <d v="2020-05-15T00:00:00"/>
    <n v="11191700"/>
    <n v="0"/>
    <s v="SOLUCIONES EN PROTECCION S.A.S."/>
    <n v="80736955"/>
    <s v="ALCOHOL ISOPROPILICO 70% EN GEL PARA ANTISEPSIA"/>
    <n v="500"/>
    <s v="LITRO"/>
    <n v="21598"/>
    <n v="0"/>
    <n v="10799000"/>
    <x v="4"/>
  </r>
  <r>
    <x v="1"/>
    <s v="019-2020"/>
    <s v="CONTRATAR EN NOMBRE DE LA NACIÓN – CONSEJO SUPERIOR LA JUDICATURA LA ADQUISICIÓN DE JABÓN LÍQUIDO, PARA MEDIDAS DE AUTOCUIDADO Y COLECTIVAS PARA EL REGRESO A LOS DIFERENTES AMBIENTES LABORALES, MITIGANDO Y CONTENIENDO EL CONTAGIO DE COVID-19 EN LOS SERVIDORES DE LA RAMA JUDICIAL DE LOS DESPACHOS JUDICIALES Y SEDES ADMINISTRATIVAS, A TRAVÉS DEL LAVADO DE MANOS."/>
    <d v="2020-05-18T00:00:00"/>
    <d v="2020-05-18T00:00:00"/>
    <n v="5600000"/>
    <n v="0"/>
    <s v="PANAMERICANA Y LIBRERIA S.A."/>
    <n v="830037946"/>
    <s v="JABON LIQUIDO PARA MANOS ANTIBACTERIAL "/>
    <n v="500"/>
    <s v="LITRO"/>
    <n v="11200"/>
    <n v="0"/>
    <n v="5600000"/>
    <x v="5"/>
  </r>
  <r>
    <x v="1"/>
    <s v="020-2020"/>
    <s v="CONTRATAR LA ADQUISICIÓN DE GUANTES DE NITRILO, PARA MEDIDAS DE AUTOCUIDADO Y COLECTIVAS PARA EL REGRESO A LOS DIFERENTES AMBIENTES LABORALES, MITIGANDO Y CONTENIENDO EL CONTAGIO DE COVID-19 EN LOS SERVIDORES JUDICIALES Y USUARIOS DE LA RAMA JUDICIAL DE LOS DESPACHOS JUDICIALES Y SEDES ADMINISTRATIVAS."/>
    <d v="2020-05-18T00:00:00"/>
    <d v="2020-05-18T00:00:00"/>
    <n v="6890700"/>
    <n v="0"/>
    <s v="CENCOSUD COLOMBIA S.A."/>
    <n v="900155107"/>
    <s v="GUANTES DE NITRILO CAJA X 100 UNIDADES"/>
    <n v="100"/>
    <s v="CAJA X 100"/>
    <n v="68907"/>
    <n v="0"/>
    <n v="6890700"/>
    <x v="10"/>
  </r>
  <r>
    <x v="1"/>
    <s v="021-2020"/>
    <s v="CONTRATAR EN NOMBRE DE LA NACIÓN – CONSEJO SUPERIOR LA JUDICATURA LA ADQUISICIÓN DE TAPABOCAS DESECHABLES PARA MEDIDAS DE AUTOCUIDADO Y COLECTIVAS PARA EL REGRESO A LOS DIFERENTES AMBIENTES LABORALES, MITIGANDO Y CONTENIENDO EL CONTAGIO DE COVID-19 EN LOS SERVIDORES JUDICIALES DE LA RAMA JUDICIAL DE LOS DESPACHOS JUDICIALES Y SEDES ADMINISTRATIVAS."/>
    <d v="2020-05-20T00:00:00"/>
    <d v="2020-05-18T00:00:00"/>
    <n v="7686300"/>
    <n v="0"/>
    <s v="CENCOSUD COLOMBIA S.A."/>
    <n v="900155107"/>
    <s v="TAPABOCAS QUIRURGICO"/>
    <n v="5000"/>
    <s v="UNIDAD"/>
    <n v="1537.26"/>
    <n v="0"/>
    <n v="7686300"/>
    <x v="3"/>
  </r>
  <r>
    <x v="1"/>
    <s v="022-2020"/>
    <s v="CONTRATAR LA ADQUISICIÓN DE ELEMENTOS DE PROTECCIÓN PERSONAL, TAPABOCAS DE TELA, PARA MEDIDAS DE AUTOCUIDADO Y COLECTIVAS EN EL REGRESO A LOS DIFERENTES AMBIENTES LABORALES, PARA CONTENER EL CONTAGIO DEL COVID-19 EN LOS SERVIDORES DE LOS DESPACHOS JUDICIALES Y SEDES ADMINISTRATIVAS."/>
    <d v="2020-06-01T00:00:00"/>
    <d v="2020-06-01T00:00:00"/>
    <n v="20300000"/>
    <n v="0"/>
    <s v="CONFECCIONES EL INDUSTRIAL LTDA"/>
    <n v="890106665"/>
    <s v="TAPABOCAS TELA REUTILIZABLES"/>
    <n v="7000"/>
    <s v="UNIDAD"/>
    <n v="2900"/>
    <n v="0"/>
    <n v="20300000"/>
    <x v="3"/>
  </r>
  <r>
    <x v="1"/>
    <s v="023-2020"/>
    <s v="CONTRATAR LA ADQUISICIÓN DE ELEMENTOS DE PROTECCIÓN PERSONAL, TERMÓMETROS DIGITALES Y BAYETILLAS MÉDICAS, PARA MEDIDAS DE AUTOCUIDADO Y COLECTIVAS EN EL REGRESO A LOS DIFERENTES AMBIENTES LABORALES, PARA CONTENER EL CONTAGIO DEL COVID-19 EN LOS SERVIDORES DE LOS DESPACHOS JUDICIALES Y SEDES ADMINISTRATIVAS."/>
    <d v="2020-06-02T00:00:00"/>
    <d v="2020-06-02T00:00:00"/>
    <n v="12960000"/>
    <n v="0"/>
    <s v="DISTRIBUCIONES PROVEMEDICS S.A.S"/>
    <n v="900616935"/>
    <s v="TERMOMETRO INFRAROJO"/>
    <n v="12"/>
    <s v="UNIDAD"/>
    <n v="330000"/>
    <n v="0"/>
    <n v="3960000"/>
    <x v="22"/>
  </r>
  <r>
    <x v="1"/>
    <s v="023-2020"/>
    <s v="CONTRATAR LA ADQUISICIÓN DE ELEMENTOS DE PROTECCIÓN PERSONAL, TERMÓMETROS DIGITALES Y BAYETILLAS MÉDICAS, PARA MEDIDAS DE AUTOCUIDADO Y COLECTIVAS EN EL REGRESO A LOS DIFERENTES AMBIENTES LABORALES, PARA CONTENER EL CONTAGIO DEL COVID-19 EN LOS SERVIDORES DE LOS DESPACHOS JUDICIALES Y SEDES ADMINISTRATIVAS."/>
    <d v="2020-06-02T00:00:00"/>
    <d v="2020-06-02T00:00:00"/>
    <n v="12960000"/>
    <n v="0"/>
    <s v="DISTRIBUCIONES PROVEMEDICS S.A.S"/>
    <n v="900616935"/>
    <s v="BAYETILLAS 36 X 60 CMS MARCA HR"/>
    <n v="3000"/>
    <s v="UNIDAD"/>
    <n v="3000"/>
    <n v="0"/>
    <n v="9000000"/>
    <x v="27"/>
  </r>
  <r>
    <x v="1"/>
    <s v="024-2020"/>
    <s v="CONTRATAR EL SUMINISTRO DE LAVAMANOS PORTÁTILES AUTÓNOMOS EN ACERO INOXIDABLE PARA ATENDER LA URGENCIA MANIFIESTA Y FORTALECER LAS MEDIDAS DE PREVENCIÓN DEL CONTAGIO Y LA PROPAGACIÓN DEL COVID-19."/>
    <d v="2020-06-08T00:00:00"/>
    <d v="2020-06-10T00:00:00"/>
    <n v="20349000"/>
    <n v="0"/>
    <s v="MONTAJES ACERO INOXIDABLE GUINOVART S.A.S."/>
    <n v="901094895"/>
    <s v="LAVAMANOS PORTATIL AUTONOMO"/>
    <n v="18"/>
    <s v="UNIDAD"/>
    <n v="950000"/>
    <n v="180500"/>
    <n v="20349000"/>
    <x v="9"/>
  </r>
  <r>
    <x v="1"/>
    <s v="026-2020"/>
    <s v="CONTRATAR  LA PRESTACIÓN DE SERVICIOS DE PERSONAL DE APOYO A LA GESTIÓN PARA VELAR POR EL CUMPLIMIENTO DE LOS PROTOCOLOS DE BIOSEGURIDAD ESTABLECIDOS POR LA RAMA JUDICIAL Y FORTALECER LAS MEDIDAS DE PREVENCIÓN DEL CONTAGIO Y DE LA PROPAGACIÓN DEL COVID -19."/>
    <d v="2020-07-01T00:00:00"/>
    <d v="2020-07-01T00:00:00"/>
    <n v="43680000"/>
    <n v="0"/>
    <s v="SERVICIOS INTEGRALES DEL CARIBE SV LTDA.  "/>
    <n v="900008801"/>
    <s v="SERVICIO DE APOYO LOGISTICO (ENFERMERAS) 7 EN 8 HORAS DIARIAS DE LUNES A VIERNES POR 4 MESES"/>
    <n v="7"/>
    <s v="VALOR MENSUAL POR PERSONA"/>
    <n v="1310924.3697478992"/>
    <n v="249075.63025210085"/>
    <n v="43680000"/>
    <x v="6"/>
  </r>
  <r>
    <x v="2"/>
    <s v="006-2020"/>
    <s v="CONTRATAR LA PRESTACION DE SERVICIO DE ATENCIÓN DE URGENCIAS Y EMERGENCIAS MEDICAS EN SITIO, PARA TODOS LOS SERVIDORES , CONTRATISTAS, PROVEEDORES Y USUARIOS DE LA ADMINISTRACIÓN DE JUSTICIA DE LAS SEDES DE MAYOR CONCENTRACION POBLACIONAL A CARGO DE LA DIRECCIÓN EJECUTIVA SECCIONAL DE ADMINITRACIÓN JUDICIAL BOGOTÁ - CUNDINAMARCA"/>
    <d v="2020-03-25T00:00:00"/>
    <d v="2020-04-01T00:00:00"/>
    <n v="185523408"/>
    <n v="0"/>
    <s v="EMERMEDICA S.A "/>
    <n v="800126785"/>
    <s v="SERVICIO DE AREAS PROTEGIDAS TIPO A:SERVICIO QUE CONTARÁ UN PROFESIONAL DE LA SALUD (CON COMPETENCIA DE ATENCIÓN PRE-HOSPITALARIA) QUE  CUMPLA  TURNO  DE  7,30 AM  A 5,30 PM DE LUNES A VIERNES, EN  CADA UNA DE LAS SEDES OBJETIVO; QUIEN ATENDERÁ TODOS LOS CASOS DE EMERGENCIAS, URGENCIAS MÉDICAS, Y EVENTOS RELACIONADOS CON ENFERMEDADES GENERALES, ACCIDENTES DE TRABAJO, ETC. TAMBIÉN CONTARÁ CON UN RESPALDO DE  ASESORIA MÉDICA EN  LINEA (WEB - TELEFONICA) Y CUBRIMIENTO DEL SERVICIO CON UNA AMBULANCIA,  SEGÚN SE DETERMINE EN LAS SEDES OBJETIVO POR 7 MESES"/>
    <n v="6"/>
    <s v="VALOR MENSUAL POR PERSONA"/>
    <n v="3222785"/>
    <n v="0"/>
    <n v="135356970"/>
    <x v="28"/>
  </r>
  <r>
    <x v="2"/>
    <s v="006-2020"/>
    <s v="CONTRATAR LA PRESTACION DE SERVICIO DE ATENCIÓN DE URGENCIAS Y EMERGENCIAS MEDICAS EN SITIO, PARA TODOS LOS SERVIDORES , CONTRATISTAS, PROVEEDORES Y USUARIOS DE LA ADMINISTRACIÓN DE JUSTICIA DE LAS SEDES DE MAYOR CONCENTRACION POBLACIONAL A CARGO DE LA DIRECCIÓN EJECUTIVA SECCIONAL DE ADMINITRACIÓN JUDICIAL BOGOTÁ - CUNDINAMARCA"/>
    <d v="2020-03-25T00:00:00"/>
    <d v="2020-04-01T00:00:00"/>
    <n v="185523408"/>
    <n v="0"/>
    <s v="EMERMEDICA S.A "/>
    <n v="800126785"/>
    <s v="SERVICIO DE ÁREAS PROTEGIDAS TIPO B : SERVICIO QUE CONTARÁ CON CUBRIMIENTO DE LAS AMBULANCIAS DE TRANSPORTE ASISTENCIAL BÁSICO (TAB), QUE ATENDERÁ TODOS LOS CASOS DE EMERGENCIAS Y/O URGENCIAS QUE SE PRESENTEN EN EL ÁREA DEFINIDA EN LOS TIEMPOS ESTABLECIDOS SEGÚN LA CLASIFICACIÓN DEL TRIAGE, DURANTE LAS 24 HORAS DEL DÍA Y DENTRO DE LA VIGENCIA DEL CONTRATO Y CUBRE A TODAS LAS PERSONAS QUE SE ENCUENTRAN DENTRO DE DICHA ÁREA, COMO SON EMPLEADOS, FUNCIONARIOS, CONTRATISTAS, PROVEEDORES Y USUARIOS POR 7 MESES"/>
    <n v="21"/>
    <s v="VALOR MENSUAL POR PERSONA"/>
    <n v="341189"/>
    <n v="0"/>
    <n v="50154783"/>
    <x v="28"/>
  </r>
  <r>
    <x v="2"/>
    <s v="007-2020"/>
    <s v="ADQUISICIÓN DE PRODUCTOS DE ASEPSIA TALES COMO GEL ANTIBACTERIAL, TOALLAS DE MANOS, TAPABOCAS QUIRÚRGICOS, ALCOHOL ANTISÉPTICO, PAPEL HIGIÉNICO BLANCO Y GUANTES DE LATEX EN_x000a_LAS CANTIDADES PRECITADAS EN LA COTIZACIÓN DEL PROVEEDOR B2 NETWORKS, QUE SE DEJO CONTEMPLADA EN LAS CONSIDERACIONES, LOS ELEMENTOS SERÁN PARA, PARA USO DE TODAS LAS_x000a_SEDES JUDICIALES Y ADMINISTRATIVAS A CARGO DE LA DIRECCIÓN EJECUTIVA SECCIONAL DE ADMINISTRACIÓN JUDICIAL BOGOTÁ – CUNDINAMARCA."/>
    <d v="2020-03-26T00:00:00"/>
    <d v="2020-03-30T00:00:00"/>
    <n v="219927500"/>
    <n v="0"/>
    <s v="B2 NETWORKS SAS"/>
    <n v="900521780"/>
    <s v="GEL ANTIBACTERIAL"/>
    <n v="750"/>
    <s v="LITRO"/>
    <n v="36400"/>
    <n v="0"/>
    <n v="27300000"/>
    <x v="4"/>
  </r>
  <r>
    <x v="2"/>
    <s v="007-2020"/>
    <s v="ADQUISICIÓN DE PRODUCTOS DE ASEPSIA TALES COMO GEL ANTIBACTERIAL, TOALLAS DE MANOS, TAPABOCAS QUIRÚRGICOS, ALCOHOL ANTISÉPTICO, PAPEL HIGIÉNICO BLANCO Y GUANTES DE LATEX EN_x000a_LAS CANTIDADES PRECITADAS EN LA COTIZACIÓN DEL PROVEEDOR B2 NETWORKS, QUE SE DEJO CONTEMPLADA EN LAS CONSIDERACIONES, LOS ELEMENTOS SERÁN PARA, PARA USO DE TODAS LAS_x000a_SEDES JUDICIALES Y ADMINISTRATIVAS A CARGO DE LA DIRECCIÓN EJECUTIVA SECCIONAL DE ADMINISTRACIÓN JUDICIAL BOGOTÁ – CUNDINAMARCA."/>
    <d v="2020-03-26T00:00:00"/>
    <d v="2020-03-30T00:00:00"/>
    <n v="219927500"/>
    <n v="0"/>
    <s v="B2 NETWORKS SAS"/>
    <n v="900521780"/>
    <s v="TOALLAS DE MANOS PAQUETE X 150"/>
    <n v="2000"/>
    <s v="PAQUETE"/>
    <n v="6500"/>
    <n v="0"/>
    <n v="13000000"/>
    <x v="8"/>
  </r>
  <r>
    <x v="2"/>
    <s v="007-2020"/>
    <s v="ADQUISICIÓN DE PRODUCTOS DE ASEPSIA TALES COMO GEL ANTIBACTERIAL, TOALLAS DE MANOS, TAPABOCAS QUIRÚRGICOS, ALCOHOL ANTISÉPTICO, PAPEL HIGIÉNICO BLANCO Y GUANTES DE LATEX EN_x000a_LAS CANTIDADES PRECITADAS EN LA COTIZACIÓN DEL PROVEEDOR B2 NETWORKS, QUE SE DEJO CONTEMPLADA EN LAS CONSIDERACIONES, LOS ELEMENTOS SERÁN PARA, PARA USO DE TODAS LAS_x000a_SEDES JUDICIALES Y ADMINISTRATIVAS A CARGO DE LA DIRECCIÓN EJECUTIVA SECCIONAL DE ADMINISTRACIÓN JUDICIAL BOGOTÁ – CUNDINAMARCA."/>
    <d v="2020-03-26T00:00:00"/>
    <d v="2020-03-30T00:00:00"/>
    <n v="219927500"/>
    <n v="0"/>
    <s v="B2 NETWORKS SAS"/>
    <n v="900521780"/>
    <s v="TAPABOCAS QUIRURGICO"/>
    <n v="150000"/>
    <s v="UNIDAD"/>
    <n v="910"/>
    <n v="0"/>
    <n v="136500000"/>
    <x v="3"/>
  </r>
  <r>
    <x v="2"/>
    <s v="007-2020"/>
    <s v="ADQUISICIÓN DE PRODUCTOS DE ASEPSIA TALES COMO GEL ANTIBACTERIAL, TOALLAS DE MANOS, TAPABOCAS QUIRÚRGICOS, ALCOHOL ANTISÉPTICO, PAPEL HIGIÉNICO BLANCO Y GUANTES DE LATEX EN_x000a_LAS CANTIDADES PRECITADAS EN LA COTIZACIÓN DEL PROVEEDOR B2 NETWORKS, QUE SE DEJO CONTEMPLADA EN LAS CONSIDERACIONES, LOS ELEMENTOS SERÁN PARA, PARA USO DE TODAS LAS_x000a_SEDES JUDICIALES Y ADMINISTRATIVAS A CARGO DE LA DIRECCIÓN EJECUTIVA SECCIONAL DE ADMINISTRACIÓN JUDICIAL BOGOTÁ – CUNDINAMARCA."/>
    <d v="2020-03-26T00:00:00"/>
    <d v="2020-03-30T00:00:00"/>
    <n v="219927500"/>
    <n v="0"/>
    <s v="B2 NETWORKS SAS"/>
    <n v="900521780"/>
    <s v="ALCOHOL ANTISEPTICO"/>
    <n v="1150"/>
    <s v="LITRO"/>
    <n v="9750"/>
    <n v="0"/>
    <n v="11212500"/>
    <x v="26"/>
  </r>
  <r>
    <x v="2"/>
    <s v="007-2020"/>
    <s v="ADQUISICIÓN DE PRODUCTOS DE ASEPSIA TALES COMO GEL ANTIBACTERIAL, TOALLAS DE MANOS, TAPABOCAS QUIRÚRGICOS, ALCOHOL ANTISÉPTICO, PAPEL HIGIÉNICO BLANCO Y GUANTES DE LATEX EN_x000a_LAS CANTIDADES PRECITADAS EN LA COTIZACIÓN DEL PROVEEDOR B2 NETWORKS, QUE SE DEJO CONTEMPLADA EN LAS CONSIDERACIONES, LOS ELEMENTOS SERÁN PARA, PARA USO DE TODAS LAS_x000a_SEDES JUDICIALES Y ADMINISTRATIVAS A CARGO DE LA DIRECCIÓN EJECUTIVA SECCIONAL DE ADMINISTRACIÓN JUDICIAL BOGOTÁ – CUNDINAMARCA."/>
    <d v="2020-03-26T00:00:00"/>
    <d v="2020-03-30T00:00:00"/>
    <n v="219927500"/>
    <n v="0"/>
    <s v="B2 NETWORKS SAS"/>
    <n v="900521780"/>
    <s v="PAPEL HIGIENICO BLANCOROLLO X 30 MTS"/>
    <n v="2050"/>
    <s v="ROLLO"/>
    <n v="1300"/>
    <n v="0"/>
    <n v="2665000"/>
    <x v="29"/>
  </r>
  <r>
    <x v="2"/>
    <s v="007-2020"/>
    <s v="ADQUISICIÓN DE PRODUCTOS DE ASEPSIA TALES COMO GEL ANTIBACTERIAL, TOALLAS DE MANOS, TAPABOCAS QUIRÚRGICOS, ALCOHOL ANTISÉPTICO, PAPEL HIGIÉNICO BLANCO Y GUANTES DE LATEX EN_x000a_LAS CANTIDADES PRECITADAS EN LA COTIZACIÓN DEL PROVEEDOR B2 NETWORKS, QUE SE DEJO CONTEMPLADA EN LAS CONSIDERACIONES, LOS ELEMENTOS SERÁN PARA, PARA USO DE TODAS LAS_x000a_SEDES JUDICIALES Y ADMINISTRATIVAS A CARGO DE LA DIRECCIÓN EJECUTIVA SECCIONAL DE ADMINISTRACIÓN JUDICIAL BOGOTÁ – CUNDINAMARCA."/>
    <d v="2020-03-26T00:00:00"/>
    <d v="2020-03-30T00:00:00"/>
    <n v="219927500"/>
    <n v="0"/>
    <s v="B2 NETWORKS SAS"/>
    <n v="900521780"/>
    <s v="GUANTES DE LATEX PAQUETE X 100"/>
    <n v="1500"/>
    <s v="CAJA X 100"/>
    <n v="19500"/>
    <n v="0"/>
    <n v="29250000"/>
    <x v="24"/>
  </r>
  <r>
    <x v="2"/>
    <s v="009-2020"/>
    <s v="ADQUISICIÓN DE 58 COMPUTADORES PORTÁTILES, DE LAS SIGUIENTES CARACTERÍSTICAS: PROCESADOR INTEL CORE I5, UNIDAD DE ALMACENAMIENTO 1 TB, MEMORIA RAM 8GB, CÁMARA Y MICRÓFONO INTEGRADO HD720P, CONECTOR RJ-45 100/1000 M, LECTOR DE HUELLAS, UNIDAD DVD CONEXIÓN EXTERNA USB, SISTEMA OPERATIVO WINDOWS 10 PRO 64 – ESPAÑOL CON SU RESPECTIVA LICENCIAS DE MICROSOFT OFFICE 2019 STD GOVERNMENT OLP 1 LICENSE NOLEVEL,  PARA USO DE LOS FUNCIONARIOS JUDICIALES Y DEMÁS SERVIDORES PÚBLICOS ADSCRITOS A  LAS SEDES JUDICIALES Y ADMINISTRATIVAS A CARGO DE LA DIRECCIÓN EJECUTIVA SECCIONAL DE ADMINISTRACIÓN JUDICIAL BOGOTÁ – CUNDINAMARCA."/>
    <d v="2020-04-03T00:00:00"/>
    <d v="2020-04-06T00:00:00"/>
    <n v="298166400"/>
    <n v="0"/>
    <s v="CDG TECNOLOGIA S.A.S"/>
    <n v="900594755"/>
    <s v="ADQUISICION COMPUTADORES PORTATILES"/>
    <n v="58"/>
    <s v="UNIDAD"/>
    <n v="2980000"/>
    <n v="566200"/>
    <n v="205679600"/>
    <x v="21"/>
  </r>
  <r>
    <x v="2"/>
    <s v="009-2020"/>
    <s v="ADQUISICIÓN DE 58 COMPUTADORES PORTÁTILES, DE LAS SIGUIENTES CARACTERÍSTICAS: PROCESADOR INTEL CORE I5, UNIDAD DE ALMACENAMIENTO 1 TB, MEMORIA RAM 8GB, CÁMARA Y MICRÓFONO INTEGRADO HD720P, CONECTOR RJ-45 100/1000 M, LECTOR DE HUELLAS, UNIDAD DVD CONEXIÓN EXTERNA USB, SISTEMA OPERATIVO WINDOWS 10 PRO 64 – ESPAÑOL CON SU RESPECTIVA LICENCIAS DE MICROSOFT OFFICE 2019 STD GOVERNMENT OLP 1 LICENSE NOLEVEL,  PARA USO DE LOS FUNCIONARIOS JUDICIALES Y DEMÁS SERVIDORES PÚBLICOS ADSCRITOS A  LAS SEDES JUDICIALES Y ADMINISTRATIVAS A CARGO DE LA DIRECCIÓN EJECUTIVA SECCIONAL DE ADMINISTRACIÓN JUDICIAL BOGOTÁ – CUNDINAMARCA."/>
    <d v="2020-04-03T00:00:00"/>
    <d v="2020-04-06T00:00:00"/>
    <n v="298166400"/>
    <n v="0"/>
    <s v="CDG TECNOLOGIA S.A.S"/>
    <n v="900594755"/>
    <s v="ADQUISICION LICENCIAS"/>
    <n v="58"/>
    <s v="UNIDAD"/>
    <n v="1340000"/>
    <n v="254600"/>
    <n v="92486800"/>
    <x v="30"/>
  </r>
  <r>
    <x v="2"/>
    <s v="015-2020"/>
    <s v="CONTRATAR LA PRESTACIÓN DE SERVICIOS DE APOYO A LA GESTIÓN PARA BRINDAR SOPORTE TECNOLÓGICO A LOS JUZGADOS DE EJECUCIÓN DE PENAS Y MEDIDAS DE SEGURIDAD DE LA CIUDAD DE BOGOTÁ, A CARGO DE LA DIRECCIÓN EJECUTIVA SECCIONAL DE ADMINISTRACIÓN JUDICIAL BOGOTÁ, CUNDINAMARCA Y AMAZONAS, ESTO ES, SOPORTE DE CONEXIONES REMOTAS, USUARIOS, IMPRESORAS, RED INTERNA, GESTIÓN DOCUMENTAL Y DIGITALIZACIÓN DE LOS PROCESOS A CARGO DEL CENTRO DE SERVICIOS."/>
    <d v="2020-04-27T00:00:00"/>
    <d v="2020-04-29T00:00:00"/>
    <n v="7000000"/>
    <n v="0"/>
    <s v="VALENTINA ORJUELA ORDOÑEZ"/>
    <n v="1024582398"/>
    <s v="SERVICIOS DE GESTION, SERVICIOS PROFESIONALES (ADMINISTRADOR TEMPORAL DE BASES DE DATOS O DE SISTEMAS DE TECNOLOGIA DE LA INFORMACION) (POR 2 MESES)"/>
    <n v="1"/>
    <s v="VALOR MENSUAL POR PERSONA"/>
    <n v="3500000"/>
    <n v="0"/>
    <n v="7000000"/>
    <x v="31"/>
  </r>
  <r>
    <x v="2"/>
    <s v="016-2020"/>
    <s v="CONTRATAR LA PRESTACIÓN DE SERVICIOS DE APOYO A LA GESTIÓN PARA BRINDAR SOPORTE TECNOLÓGICO A LOS JUZGADOS DE EJECUCIÓN DE PENAS Y MEDIDAS DE SEGURIDAD DE LA CIUDAD DE BOGOTÁ, A CARGO DE LA DIRECCIÓN EJECUTIVA SECCIONAL DE ADMINISTRACIÓN JUDICIAL BOGOTÁ, CUNDINAMARCA Y AMAZONAS, ESTO ES, SOPORTE DE CONEXIONES REMOTAS, USUARIOS, IMPRESORAS, RED INTERNA, GESTIÓN DOCUMENTAL Y DIGITALIZACIÓN DE LOS PROCESOS A CARGO DEL CENTRO DE SERVICIOS."/>
    <d v="2020-04-27T00:00:00"/>
    <d v="2020-04-29T00:00:00"/>
    <n v="7000000"/>
    <n v="0"/>
    <s v="EDWIN GIOVANNI DURAN PARDO"/>
    <n v="80004109"/>
    <s v="SERVICIOS DE GESTION, SERVICIOS PROFESIONALES (ADMINISTRADOR TEMPORAL DE BASES DE DATOS O DE SISTEMAS DE TECNOLOGIA DE LA INFORMACION) (POR 2 MESES)"/>
    <n v="1"/>
    <s v="VALOR MENSUAL POR PERSONA"/>
    <n v="3500000"/>
    <n v="0"/>
    <n v="7000000"/>
    <x v="31"/>
  </r>
  <r>
    <x v="2"/>
    <s v="017-2020"/>
    <s v="CONTRATAR LA PRESTACIÓN DE SERVICIOS DE APOYO A LA GESTIÓN PARA BRINDAR SOPORTE TECNOLÓGICO A LOS JUZGADOS DE EJECUCIÓN DE PENAS Y MEDIDAS DE SEGURIDAD DE LA CIUDAD DE BOGOTÁ, A CARGO DE LA DIRECCIÓN EJECUTIVA SECCIONAL DE ADMINISTRACIÓN JUDICIAL BOGOTÁ, CUNDINAMARCA Y AMAZONAS, ESTO ES, SOPORTE DE CONEXIONES REMOTAS, USUARIOS, IMPRESORAS, RED INTERNA, GESTIÓN DOCUMENTAL Y DIGITALIZACIÓN DE LOS PROCESOS A CARGO DEL CENTRO DE SERVICIOS."/>
    <d v="2020-04-27T00:00:00"/>
    <d v="2020-04-29T00:00:00"/>
    <n v="7000000"/>
    <n v="0"/>
    <s v="JORGE ALEXANDER GAONA ORDOÑEZ"/>
    <n v="79961756"/>
    <s v="SERVICIOS DE GESTION, SERVICIOS PROFESIONALES (ADMINISTRADOR TEMPORAL DE BASES DE DATOS O DE SISTEMAS DE TECNOLOGIA DE LA INFORMACION) (POR 2 MESES)"/>
    <n v="1"/>
    <s v="VALOR MENSUAL POR PERSONA"/>
    <n v="3500000"/>
    <n v="0"/>
    <n v="7000000"/>
    <x v="31"/>
  </r>
  <r>
    <x v="2"/>
    <s v="018-2020"/>
    <s v="CONTRATAR LA PRESTACIÓN DE SERVICIOS DE APOYO A LA GESTIÓN PARA BRINDAR SOPORTE TECNOLÓGICO A LOS JUZGADOS DE EJECUCIÓN DE PENAS Y MEDIDAS DE SEGURIDAD DE LA CIUDAD DE BOGOTÁ, A CARGO DE LA DIRECCIÓN EJECUTIVA SECCIONAL DE ADMINISTRACIÓN JUDICIAL BOGOTÁ, CUNDINAMARCA Y AMAZONAS, ESTO ES, SOPORTE DE CONEXIONES REMOTAS, USUARIOS, IMPRESORAS, RED INTERNA, GESTIÓN DOCUMENTAL Y DIGITALIZACIÓN DE LOS PROCESOS A CARGO DEL CENTRO DE SERVICIOS."/>
    <d v="2020-04-28T00:00:00"/>
    <d v="2020-04-29T00:00:00"/>
    <n v="7000000"/>
    <n v="0"/>
    <s v="ALBERTO GALINDO ORTIZ"/>
    <n v="80261176"/>
    <s v="SERVICIOS DE GESTION, SERVICIOS PROFESIONALES (ADMINISTRADOR TEMPORAL DE BASES DE DATOS O DE SISTEMAS DE TECNOLOGIA DE LA INFORMACION) (POR 2 MESES)"/>
    <n v="1"/>
    <s v="VALOR MENSUAL POR PERSONA"/>
    <n v="3500000"/>
    <n v="0"/>
    <n v="7000000"/>
    <x v="31"/>
  </r>
  <r>
    <x v="2"/>
    <s v="019-2020"/>
    <s v="CONTRATAR EL ARRENDAMIENTO DE 150 EQUIPOS PORTÁTILES DE LAS SIGUIENTES CARACTERÍSTICAS: PROCESADOR INTEL CORE I5, UNIDAD DE ALMACENAMIENTO 500GB, MEMORIA RAM 8GB, CÁMARA Y MICRÓFONO INTEGRADO HD720P, CONECTOR RJ-45, UNIDAD ÓPTICA, SISTEMA OPERATIVO WINDOWS 10 CON LICENCIAMIENTO OFFICE 2013, QUE REQUIERAN LOS DESPACHOS JUDICIALES Y SEDES ADMINISTRATIVAS A CARGO DE ESTA DIRECCIÓN EJECUTIVA SECCIONAL DE ADMINISTRACIÓN JUDICIAL BOGOTÁ – CUNDINAMARCA."/>
    <d v="2020-04-27T00:00:00"/>
    <d v="2020-05-06T00:00:00"/>
    <n v="73631250"/>
    <n v="73631250"/>
    <s v="CDG TECNOLOGIA S.A.S"/>
    <n v="900594755"/>
    <s v="ALQUILER EQUIPO PORTATIL USADO PROCESADOR  CORE I5  MEMORIA 8GB DDR DISCO DURO DE 500 O SUPERIOR,PANTALLA DE 14 CAMARA-CAMARA HD720P , RJ45,UNIDAD OPTICA (POR 3 MESES)"/>
    <n v="300"/>
    <s v="VALOR MENSUAL POR EQUIPO"/>
    <n v="137500"/>
    <n v="26125"/>
    <n v="147262500"/>
    <x v="32"/>
  </r>
  <r>
    <x v="2"/>
    <s v="023-2020"/>
    <s v="ADQUISICIÓN DE ELEMENTOS DE PROTECCIÓN PERSONAL QUE REQUIERAN LOS DESPACHOS JUDICIALES Y SEDES ADMINISTRATIVAS A CARGO DE ESTA DIRECCIÓN EJECUTIVA SECCIONAL DE ADMINISTRACIÓN JUDICIAL BOGOTÁ – CUNDINAMARCA, AMAZONAS."/>
    <d v="2020-05-27T00:00:00"/>
    <d v="2020-05-29T00:00:00"/>
    <n v="418175000"/>
    <n v="0"/>
    <s v="DOTACIONES EN SALUD DOTASALUD J.C. S.A.S"/>
    <n v="900053297"/>
    <s v="MASCARILLA DE PROTECCIÓN RESPIRATORIA CONTRA PARTÍCULAS"/>
    <n v="100"/>
    <s v="UNIDAD"/>
    <n v="17800"/>
    <n v="0"/>
    <n v="1780000"/>
    <x v="3"/>
  </r>
  <r>
    <x v="2"/>
    <s v="023-2020"/>
    <s v="ADQUISICIÓN DE ELEMENTOS DE PROTECCIÓN PERSONAL QUE REQUIERAN LOS DESPACHOS JUDICIALES Y SEDES ADMINISTRATIVAS A CARGO DE ESTA DIRECCIÓN EJECUTIVA SECCIONAL DE ADMINISTRACIÓN JUDICIAL BOGOTÁ – CUNDINAMARCA, AMAZONAS."/>
    <d v="2020-05-27T00:00:00"/>
    <d v="2020-05-29T00:00:00"/>
    <n v="418175000"/>
    <n v="0"/>
    <s v="DOTACIONES EN SALUD DOTASALUD J.C. S.A.S"/>
    <n v="900053297"/>
    <s v="MONOGAFAS DE PROTECCON"/>
    <n v="1000"/>
    <s v="UNIDAD"/>
    <n v="19900"/>
    <n v="0"/>
    <n v="19900000"/>
    <x v="2"/>
  </r>
  <r>
    <x v="2"/>
    <s v="023-2020"/>
    <s v="ADQUISICIÓN DE ELEMENTOS DE PROTECCIÓN PERSONAL QUE REQUIERAN LOS DESPACHOS JUDICIALES Y SEDES ADMINISTRATIVAS A CARGO DE ESTA DIRECCIÓN EJECUTIVA SECCIONAL DE ADMINISTRACIÓN JUDICIAL BOGOTÁ – CUNDINAMARCA, AMAZONAS."/>
    <d v="2020-05-27T00:00:00"/>
    <d v="2020-05-29T00:00:00"/>
    <n v="418175000"/>
    <n v="0"/>
    <s v="DOTACIONES EN SALUD DOTASALUD J.C. S.A.S"/>
    <n v="900053297"/>
    <s v="TRAJES DE PROTECCIÓN ANTI FLUIDO DESECHABLE"/>
    <n v="100"/>
    <s v="UNIDAD"/>
    <n v="34900"/>
    <n v="0"/>
    <n v="3490000"/>
    <x v="0"/>
  </r>
  <r>
    <x v="2"/>
    <s v="023-2020"/>
    <s v="ADQUISICIÓN DE ELEMENTOS DE PROTECCIÓN PERSONAL QUE REQUIERAN LOS DESPACHOS JUDICIALES Y SEDES ADMINISTRATIVAS A CARGO DE ESTA DIRECCIÓN EJECUTIVA SECCIONAL DE ADMINISTRACIÓN JUDICIAL BOGOTÁ – CUNDINAMARCA, AMAZONAS."/>
    <d v="2020-05-27T00:00:00"/>
    <d v="2020-05-29T00:00:00"/>
    <n v="418175000"/>
    <n v="0"/>
    <s v="DOTACIONES EN SALUD DOTASALUD J.C. S.A.S"/>
    <n v="900053297"/>
    <s v="TAPABOCAS QUIRURGICO TERMOSELLADO (NO  TEJIDO) "/>
    <n v="192300"/>
    <s v="UNIDAD"/>
    <n v="1850"/>
    <n v="0"/>
    <n v="355755000"/>
    <x v="3"/>
  </r>
  <r>
    <x v="2"/>
    <s v="023-2020"/>
    <s v="ADQUISICIÓN DE ELEMENTOS DE PROTECCIÓN PERSONAL QUE REQUIERAN LOS DESPACHOS JUDICIALES Y SEDES ADMINISTRATIVAS A CARGO DE ESTA DIRECCIÓN EJECUTIVA SECCIONAL DE ADMINISTRACIÓN JUDICIAL BOGOTÁ – CUNDINAMARCA, AMAZONAS."/>
    <d v="2020-05-27T00:00:00"/>
    <d v="2020-05-29T00:00:00"/>
    <n v="418175000"/>
    <n v="0"/>
    <s v="DOTACIONES EN SALUD DOTASALUD J.C. S.A.S"/>
    <n v="900053297"/>
    <s v="GEL ALCOHOL ISOPROPÍLICO "/>
    <n v="1250"/>
    <s v="LITRO"/>
    <n v="29800"/>
    <n v="0"/>
    <n v="37250000"/>
    <x v="4"/>
  </r>
  <r>
    <x v="2"/>
    <s v="024-2020"/>
    <s v="COMPRA DE DEPÓSITOS DE AGUA (LAVAMANOS) PORTÁTILES, CON LAS SIGUIENTES CARACTERÍSTICAS: LAVAMANOS PORTÁTIL FABRICADO EN FIBRA DE VIDRIO, EQUIPADO CON UNA BOMBA DE PEDAL PARA EL BOMBEO DE AGUA, CUENTA CON UN TANQUE DE AGUA LIMPIA DE 5 GALONES Y UNO DE AGUA RESIDUAL DE 5 GALONES"/>
    <d v="2020-05-26T00:00:00"/>
    <d v="2020-05-29T00:00:00"/>
    <n v="66640000"/>
    <n v="0"/>
    <s v="BAÑOS BRASILIA S.A.S. "/>
    <n v="900491441"/>
    <s v="LAVAMANOS PORTATIL FABRICADO EN FIBRA DE VIDRIO"/>
    <n v="40"/>
    <s v="UNIDAD"/>
    <n v="1400000"/>
    <n v="266000"/>
    <n v="66640000"/>
    <x v="9"/>
  </r>
  <r>
    <x v="2"/>
    <s v="040-2020"/>
    <s v="ADQUISICION DE TERMOMETROS INFRARROJOS DIGITALES"/>
    <d v="2020-06-27T00:00:00"/>
    <d v="2020-07-01T00:00:00"/>
    <n v="11940000"/>
    <n v="0"/>
    <s v="ALCSETEC ALIANZAS COMERCIALES Y SERVICIOS TECNOLÓGICOS S.A.S"/>
    <n v="900934702"/>
    <s v="TERMOMETROS INFRARROJOS DIGITALES"/>
    <n v="60"/>
    <s v="UNIDAD"/>
    <n v="199000"/>
    <n v="0"/>
    <n v="11940000"/>
    <x v="22"/>
  </r>
  <r>
    <x v="2"/>
    <s v="51487"/>
    <s v="ADQUISICION DE CARETA DE PROTECCION"/>
    <d v="2020-07-03T00:00:00"/>
    <d v="2020-07-03T00:00:00"/>
    <n v="14970000"/>
    <n v="0"/>
    <s v="ABBAPLAX S.A.S"/>
    <n v="8600621471"/>
    <s v="CARETAS DE PROTECCION"/>
    <n v="3000"/>
    <s v="UNIDAD"/>
    <n v="4990"/>
    <n v="0"/>
    <n v="14970000"/>
    <x v="11"/>
  </r>
  <r>
    <x v="2"/>
    <s v="52416"/>
    <s v="ADQUISICION DE ESCANNER DE MANOS, LECTOR DE CEDULAS"/>
    <d v="2020-07-22T00:00:00"/>
    <d v="2020-07-22T00:00:00"/>
    <n v="15913335"/>
    <n v="0"/>
    <s v="GRUPO EMPRESARIAL CREAR DE COLOMBIA"/>
    <n v="9005644591"/>
    <s v="ESCANNER DE MANOS"/>
    <n v="50"/>
    <s v="UNIDAD"/>
    <n v="267451.26050420169"/>
    <n v="50815.73949579832"/>
    <n v="15913350"/>
    <x v="17"/>
  </r>
  <r>
    <x v="2"/>
    <s v="52439"/>
    <s v="ADQUISICION DE GUANTES DE NITRILO"/>
    <d v="2020-07-22T00:00:00"/>
    <d v="2020-07-22T00:00:00"/>
    <n v="27417000"/>
    <n v="0"/>
    <s v="AESTHETICS &amp; MEDICAL SOLUTIONS"/>
    <n v="9005671308"/>
    <s v="GUANTES DE NITRILO CAJA X 100"/>
    <n v="703"/>
    <s v="CAJA X 100"/>
    <n v="39000"/>
    <n v="0"/>
    <n v="27417000"/>
    <x v="10"/>
  </r>
  <r>
    <x v="2"/>
    <s v="52492"/>
    <s v="SUMINISTRO DE DISPENSADORES DE GEL ANTIBACTERIAL PARA ACTIVACION DE PIE"/>
    <d v="2020-07-23T00:00:00"/>
    <d v="2020-07-23T00:00:00"/>
    <n v="30011800"/>
    <n v="0"/>
    <s v="MARKETING STORE SAS"/>
    <n v="9001413756"/>
    <s v="DISPENSADORES DE GEL ANTIBACTERIAL"/>
    <n v="388"/>
    <s v="UNIDAD"/>
    <n v="65000"/>
    <n v="12350"/>
    <n v="30011800"/>
    <x v="12"/>
  </r>
  <r>
    <x v="2"/>
    <s v="52560"/>
    <s v="ADQUISICION DE CINTAS PARA DEMARCAR ZONAS"/>
    <d v="2020-07-24T00:00:00"/>
    <d v="2020-07-24T00:00:00"/>
    <n v="18420129"/>
    <n v="0"/>
    <s v="PANAMERICANA LIBRERÍA Y PAPELERIA"/>
    <n v="830037946"/>
    <s v="ADQUISICION DE CINTAS ADHESIVAS DE ALTO RENDIMIENTO PARA DEMARCACION DE ZONAS X 32 MTS"/>
    <n v="117"/>
    <s v="ROLLO X 32,91 MTS"/>
    <n v="157437"/>
    <n v="0"/>
    <n v="18420129"/>
    <x v="33"/>
  </r>
  <r>
    <x v="2"/>
    <s v="52574"/>
    <s v="ADQUISICION DE LAVAMANOS PORTATILES CON DISPENSADORES DE JABON Y TOALLAS"/>
    <d v="2020-07-24T00:00:00"/>
    <d v="2020-07-24T00:00:00"/>
    <n v="84252000"/>
    <n v="0"/>
    <s v="MARKETING STORE SAS"/>
    <n v="9001413756"/>
    <s v="LAVAMANOS PORTATIL CON DISPENSADORES DE JABON Y TOALLAS"/>
    <n v="59"/>
    <s v="UNIDAD"/>
    <n v="1200000"/>
    <n v="228000"/>
    <n v="84252000"/>
    <x v="9"/>
  </r>
  <r>
    <x v="2"/>
    <s v="53248"/>
    <s v="ADQUISICION DE CANECAS DE PEDAL 20 LTS COLOR GRIS"/>
    <d v="2020-08-05T00:00:00"/>
    <d v="2020-08-05T00:00:00"/>
    <n v="7076358"/>
    <n v="0"/>
    <s v="PANAMERICANA LIBRERÍA Y PAPELERIA"/>
    <n v="830037946"/>
    <s v="ADQUISICION DE CANECAS DE PEDAL 20 LTS COLOR GRIS"/>
    <n v="131"/>
    <s v="UNIDAD"/>
    <n v="54018"/>
    <n v="0"/>
    <n v="7076358"/>
    <x v="15"/>
  </r>
  <r>
    <x v="2"/>
    <s v="53248"/>
    <s v="ADQUISICION DE CANECAS DE PEDAL 20 LTS COLOR GRIS"/>
    <d v="2020-08-05T00:00:00"/>
    <d v="2020-08-05T00:00:00"/>
    <n v="7076358"/>
    <n v="0"/>
    <s v="PANAMERICANA LIBRERÍA Y PAPELERIA"/>
    <n v="830037946"/>
    <s v="ADQUISICION DE CANECAS DE PEDAL 20 LTS COLOR GRIS"/>
    <n v="131"/>
    <s v="UNIDAD"/>
    <n v="54018"/>
    <n v="0"/>
    <n v="7076358"/>
    <x v="15"/>
  </r>
  <r>
    <x v="2"/>
    <s v="53441"/>
    <s v="ADQUIRIR BATAS ANTIFLUIDO PARA EL PERSONAL ENCARGADO DEL MANEJO DE ARCHIVO DE LOS DESPACHOS"/>
    <d v="2020-08-12T00:00:00"/>
    <d v="2020-08-19T00:00:00"/>
    <n v="3443622"/>
    <n v="0"/>
    <s v="YUBARTA S.A.S"/>
    <n v="805018905"/>
    <s v=" BATAS ANTIFLUIDO"/>
    <n v="150"/>
    <s v="UNIDAD"/>
    <n v="19292"/>
    <n v="3665.48"/>
    <n v="3443622"/>
    <x v="34"/>
  </r>
  <r>
    <x v="2"/>
    <s v="54919"/>
    <s v="ADQUIRIR BATAS ANTIFLUIDO PARA EL PERSONAL ENCARGADO DEL MANEJO DE ARCHIVO DE LOS DESPACHOS JUDICIALES, CENTROS DE SERVICIOS Y DEPENDENCIAS ADMINISTRATIVAS A CARGO DE LA DIRECCIÓN EJECUTIVA SECCIONAL DE ADMINISTRACIÓN JUDICIAL DE BOGOTÁ, CUNDINAMARCA Y AMAZONAS."/>
    <d v="2020-09-09T00:00:00"/>
    <d v="2020-09-09T00:00:00"/>
    <n v="3614232"/>
    <n v="0"/>
    <s v="YUBARTA S.A.S"/>
    <n v="805018905"/>
    <s v=" BATAS ANTIFLUIDO"/>
    <n v="290"/>
    <s v="UNIDAD"/>
    <n v="10473"/>
    <n v="1989.8700000000001"/>
    <n v="3614232.3000000003"/>
    <x v="34"/>
  </r>
  <r>
    <x v="2"/>
    <s v="54987"/>
    <s v="ADQUISICION DE TAPETES DESINFECTANTES CON EL FIN DE SUPLIR LAS NECESIDADES QUE SE PRESENTEN EN LAS DIFERENTES SEDES ADMINISTRATIVAS Y DESPACHOS JUDICIALES A CARGO DE LA DIRECCIÓN EJECUTIVA SECCIONAL DE ADMINISTRACIÓN JUDICIAL BOGOTÁ - CUNDINAMARCA "/>
    <d v="2020-09-11T00:00:00"/>
    <d v="2020-09-11T00:00:00"/>
    <n v="6664000"/>
    <n v="0"/>
    <s v="COLSUBSIDIO"/>
    <n v="860007336"/>
    <s v="TAPETES DESINFECTANTES"/>
    <n v="34"/>
    <s v="UNIDAD"/>
    <n v="196000"/>
    <n v="0"/>
    <n v="6664000"/>
    <x v="35"/>
  </r>
  <r>
    <x v="2"/>
    <s v="55664"/>
    <s v="CONTRATAR EL ALQUILER E INSTALACIÓN EN SITIO DE COMPUTADORES PORTÁTILES CON LICENCIAMIENTO OFFICE ESTÁNDAR 2016, PARA EL TRABAJO EN CASA DE LOS EMPLEADOS Y FUNCIONARIOS DE LOS DESPACHOS JUDICIALES Y DEPENDENCIAS ADMINISTRATIVAS A CARGO DE LA DIRECCIÓN EJECUTIVA SECCIONAL DE ADMINISTRACIÓN JUDICIAL DE BOGOTÁ- CUNDINAMARCA – AMAZONAS, A TRAVÉS DE LOS ACUERDOS MARCO DE PRECIOS DE COLOMBIA COMPRA EFICIENTE, TIENDA VIRTUAL DEL ESTADO COLOMBIANO."/>
    <d v="2020-09-24T00:00:00"/>
    <d v="2020-09-24T00:00:00"/>
    <n v="74998626"/>
    <n v="0"/>
    <s v="NUEVA ERA SOLUCIONES S.A.S"/>
    <n v="830037278"/>
    <s v="ALQUILER COMPUTADOR PORTATIL POR TRES MESES"/>
    <n v="113"/>
    <s v="VALOR MENSUAL POR EQUIPO"/>
    <n v="185911.666"/>
    <n v="35323.216540000001"/>
    <n v="74998625.181060001"/>
    <x v="32"/>
  </r>
  <r>
    <x v="2"/>
    <s v="56014"/>
    <s v="CONTRATAR LA ADQUISICIÓN DE ALCOHOL ISOPROPILICO 70% EN GEL PARA ANTISEPSIA DE MANOS Y DISPENSADOR PLÁSTICO CON DOSIFICADOR TIPO VÁLVULA PARA LOS DISPENSADORES DE GEL DE ACTIVACIÓN CON PEDAL, CON DESTINO A LOS DESPACHOS JUDICIALES Y SEDES ADMINISTRATIVAS DE LA CIUDAD DE BOGOTÁ D.C., A CARGO DE LA DIRECCIÓN EJECUTIVA SECCIONAL DE ADMINISTRACIÓN JUDICIAL BOGOTÁ – CUNDINAMARCA, A TRAVÉS DEL INSTRUMENTO DE AGREGACIÓN DE DEMANDA DE COLOMBIA COMPRA EFICIENTE, TIENDA VIRTUAL DEL ESTADO COLOMBIANO."/>
    <d v="2020-09-30T00:00:00"/>
    <d v="2020-09-30T00:00:00"/>
    <n v="78930000"/>
    <n v="0"/>
    <s v="TENSOACTIVOS SG S.A.S."/>
    <n v="805023817"/>
    <s v="ALCOHOL ISOPROPILICO 70% EN GEL PARA ANTISEPSIA DE MANOS Y DISPENSADOR PLÁSTICO CON DOSIFICADOR TIPO VÁLVULA PARA LOS DISPENSADORES DE GEL DE ACTIVACIÓN CON PEDAL,"/>
    <n v="10650"/>
    <s v="LITRO"/>
    <n v="7200"/>
    <n v="0"/>
    <n v="76680000"/>
    <x v="4"/>
  </r>
  <r>
    <x v="2"/>
    <s v="56024"/>
    <s v="DISPENSADOR DE GEL ANTIBACTERIAL"/>
    <d v="2020-10-01T00:00:00"/>
    <d v="2020-10-01T00:00:00"/>
    <n v="117963550"/>
    <n v="0"/>
    <s v="MARKETING STORE S.A.S"/>
    <n v="900141375"/>
    <s v="DISPENSADOR DE GEL ANTIBACTERIAL"/>
    <n v="21300"/>
    <s v="UNIDAD"/>
    <n v="4653.9452400678583"/>
    <n v="884.24959561289313"/>
    <n v="117963550.00000001"/>
    <x v="12"/>
  </r>
  <r>
    <x v="2"/>
    <s v="57278"/>
    <s v="CONTRATAR LA ADQUISICIÓN DE TAPABOCAS DESECHABLES PARA EMPLEADOS Y FUNCIONARIOS DE LOS DESPACHOS JUDICIALES Y SEDES ADMINISTRATIVAS UBICADAS EN LA CIUDAD DE BOGOTÁ D.C., EN EL DEPARTAMENTO DE CUNDINAMARCA, LETICIA Y PTO NARIÑO AMAZONAS, A CARGO DE LA DIRECCIÓN EJECUTIVA SECCIONAL DE ADMINISTRACIÓN JUDICIAL - DESAJ, A TRAVÉS DEL INSTRUMENTO DE AGREGACIÓN DE DEMANDA DE COLOMBIA COMPRA EFICIENTE, TIENDA VIRTUAL DEL ESTADO COLOMBIANO."/>
    <d v="2020-10-27T00:00:00"/>
    <d v="2020-10-27T00:00:00"/>
    <n v="87420000"/>
    <n v="0"/>
    <s v="TIKKE S.A.S"/>
    <n v="900330957"/>
    <s v="TAPABOCAS DESECHABLES"/>
    <n v="8100"/>
    <s v="UNIDAD"/>
    <n v="10792.592592592593"/>
    <n v="0"/>
    <n v="87420000"/>
    <x v="3"/>
  </r>
  <r>
    <x v="2"/>
    <s v="58060"/>
    <s v="ALQUILAR COMPUTADORES PORTÁTILES CON LICENCIAMIENTO OFFICE ESTÁNDAR 2016, PARA EL TRABAJO EN CASA DE LOS EMPLEADOS DE LA DIRECCIÓN EJECUTIVA SECCIONAL DE ADMINISTRACIÓN JUDICIAL DE BOGOTÁ – CUNDINAMARCA – AMAZONAS"/>
    <d v="2020-11-09T00:00:00"/>
    <d v="2020-11-09T00:00:00"/>
    <n v="104615280"/>
    <n v="0"/>
    <s v="UNIPAR ALQUILERES DE COMPUTADORES S.A."/>
    <n v="830118348"/>
    <s v="ALQUILER COMPUTADOR PORTATIL POR DOS MESES"/>
    <n v="222"/>
    <s v="VALOR MENSUAL POR EQUIPO"/>
    <n v="198000"/>
    <n v="37620"/>
    <n v="104615280"/>
    <x v="32"/>
  </r>
  <r>
    <x v="2"/>
    <s v="58219"/>
    <s v="CONTRATAR LA ADQUISICIÓN DE ALCOHOL EN PRESENTACIÓN GALÓN PARA LIMPIEZA DE SUPERFICIES PARA LOS DESPACHOS JUDICIALES Y SEDES ADMINISTRATIVAS UBICADAS EN LA CIUDAD DE BOGOTÁ D.C., EN EL DEPARTAMENTO DE CUNDINAMARCA, LETICIA Y PTO NARIÑO AMAZONAS, A CARGO DE LA DIRECCIÓN EJECUTIVA SECCIONAL DE ADMINISTRACIÓN JUDICIAL - DESAJ, A TRAVÉS DEL INSTRUMENTO DE AGREGACIÓN DE DEMANDA DE COLOMBIA COMPRA EFICIENTE, TIENDA VIRTUAL DEL ESTADO COLOMBIANO."/>
    <d v="2020-11-10T00:00:00"/>
    <d v="2020-11-10T00:00:00"/>
    <n v="26298000"/>
    <n v="0"/>
    <s v="SOLOASEO CAFETERIA DISTRIBUCIONES"/>
    <n v="800165862"/>
    <s v="ALCOHOL EN PRESENTACIÓN GALÓN 3.750 ML"/>
    <n v="7500"/>
    <s v="LITRO"/>
    <n v="3373.0666666666666"/>
    <n v="0"/>
    <n v="25298000"/>
    <x v="26"/>
  </r>
  <r>
    <x v="2"/>
    <s v="58220"/>
    <s v="CONTRATAR LA ADQUISICIÓN DE ALCOHOL EN PRESENTACIÓN 750 ML PARA LIMPIEZA DE SUPERFICIES PARA LOS DESPACHOS JUDICIALES Y SEDES ADMINISTRATIVAS UBICADAS EN LA CIUDAD DE BOGOTÁ D.C., EN EL DEPARTAMENTO DE CUNDINAMARCA, LETICIA Y PTO NARIÑO AMAZONAS, A CARGO DE LA DIRECCIÓN EJECUTIVA SECCIONAL DE ADMINISTRACIÓN JUDICIAL - DESAJ, A TRAVÉS DEL INSTRUMENTO DE AGREGACIÓN DE DEMANDA DE COLOMBIA COMPRA EFICIENTE, TIENDA VIRTUAL DEL ESTADO COLOMBIANO."/>
    <d v="2020-11-10T00:00:00"/>
    <d v="2020-11-10T00:00:00"/>
    <n v="18890000"/>
    <n v="0"/>
    <s v="SUMIMAS S.A.S"/>
    <n v="830001338"/>
    <s v="ALCOHOL EN PRESENTACIÓN 750 ML"/>
    <n v="3750"/>
    <s v="LITRO"/>
    <n v="4904"/>
    <n v="0"/>
    <n v="18390000"/>
    <x v="26"/>
  </r>
  <r>
    <x v="2"/>
    <s v="58221"/>
    <s v="CONTRATAR LA ADQUISICIÓN DE FRASCO ATOMIZADOR EN PRESENTACIÓN 1000 ML PARA LIMPIEZA DE SUPERFICIES PARA LOS DESPACHOS JUDICIALES Y SEDES ADMINISTRATIVAS UBICADAS EN LA CIUDAD DE BOGOTÁ D.C., EN EL DEPARTAMENTO DE CUNDINAMARCA, LETICIA Y PTO NARIÑO AMAZONAS, A CARGO DE LA DIRECCIÓN EJECUTIVA SECCIONAL DE ADMINISTRACIÓN JUDICIAL - DESAJ, A TRAVÉS DEL INSTRUMENTO DE AGREGACIÓN DE DEMANDA DE COLOMBIA COMPRA EFICIENTE, TIENDA VIRTUAL DEL ESTADO COLOMBIANO."/>
    <d v="2020-11-10T00:00:00"/>
    <d v="2020-11-10T00:00:00"/>
    <n v="3457300"/>
    <n v="0"/>
    <s v="PAPER BOX SP S.A.S"/>
    <n v="900791672"/>
    <s v="FRASCO ATOMIZADOR EN PRESENTACIÓN 1000 ML"/>
    <n v="1500"/>
    <s v="UNIDAD"/>
    <n v="2304.8666666666668"/>
    <n v="0"/>
    <n v="3457300"/>
    <x v="20"/>
  </r>
  <r>
    <x v="2"/>
    <s v="58227"/>
    <s v="CONTRATAR LA ADQUISICIÓN DE TAPETES BIOCOMPONENTE PARA LOS DESPACHOS JUDICIALES Y SEDES ADMINISTRATIVAS UBICADAS EN LA CIUDAD DE BOGOTÁ D.C., EN EL DEPARTAMENTO DE CUNDINAMARCA, LETICIA Y PTO NARIÑO AMAZONAS, A CARGO DE LA DIRECCIÓN EJECUTIVA SECCIONAL DE ADMINISTRACIÓN JUDICIAL - DESAJ, A TRAVÉS DEL INSTRUMENTO DE AGREGACIÓN DE DEMANDA DE COLOMBIA COMPRA EFICIENTE, TIENDA VIRTUAL DEL ESTADO COLOMBIANO"/>
    <d v="2020-11-10T00:00:00"/>
    <d v="2020-11-10T00:00:00"/>
    <n v="49779524"/>
    <n v="0"/>
    <s v="PANORAMMA DISEÑO DE PRODUCCIONES S.A.S"/>
    <n v="900671732"/>
    <s v="TAPETES BIOCOMPONENTE "/>
    <n v="400"/>
    <s v="UNIDAD"/>
    <n v="104578.83193277312"/>
    <n v="19869.978067226893"/>
    <n v="49779524.000000007"/>
    <x v="35"/>
  </r>
  <r>
    <x v="2"/>
    <s v="58361"/>
    <s v="CONTRATAR LA ADQUISICIÓN DE CARETAS DE PROTECCIÓN FACIAL PARA LOS SERVIDORES DE LOS DESPACHOS JUDICIALES Y SEDES ADMINISTRATIVAS UBICADAS EN LA CIUDAD DE BOGOTÁ D.C., EN EL DEPARTAMENTO DE CUNDINAMARCA, LETICIA Y PTO NARIÑO AMAZONAS, A CARGO DE LA DIRECCIÓN EJECUTIVA SECCIONAL DE ADMINISTRACIÓN JUDICIAL - DESAJ, A TRAVÉS DEL INSTRUMENTO DE AGREGACIÓN DE DEMANDA DE COLOMBIA COMPRA EFICIENTE, TIENDA VIRTUAL DEL ESTADO COLOMBIANO."/>
    <d v="2020-11-10T00:00:00"/>
    <d v="2020-11-10T00:00:00"/>
    <n v="27729000"/>
    <n v="0"/>
    <s v="BON SANTE S.A.S"/>
    <n v="901211678"/>
    <s v="CARETAS VISORES (PROTECTOR FACIAL)"/>
    <n v="10665"/>
    <s v="UNIDAD"/>
    <n v="2600"/>
    <n v="0"/>
    <n v="27729000"/>
    <x v="11"/>
  </r>
  <r>
    <x v="2"/>
    <s v="58238"/>
    <s v="CONTRATAR LA ADQUISICIÓN DE CINTA ADHESIVA PARA DELIMITAR LAS ÁREAS SEGURAS DE LOS DESPACHOS JUDICIALES Y SEDES ADMINISTRATIVAS UBICADAS EN LA CIUDAD DE BOGOTÁ D.C., EN EL DEPARTAMENTO DE CUNDINAMARCA, LETICIA Y PTO NARIÑO AMAZONAS, A CARGO DE LA DIRECCIÓN EJECUTIVA SECCIONAL DE ADMINISTRACIÓN JUDICIAL - DESAJ, A TRAVÉS DEL INSTRUMENTO DE AGREGACIÓN DE DEMANDA DE COLOMBIA COMPRA EFICIENTE, TIENDA VIRTUAL DEL ESTADO COLOMBIANO."/>
    <d v="2020-11-10T00:00:00"/>
    <d v="2020-11-10T00:00:00"/>
    <n v="11304100"/>
    <n v="0"/>
    <s v="BON SANTE S.A.S"/>
    <n v="901211678"/>
    <s v="CINTA MARCACIÓN Y DELIMITACIÓN DE ÁREAS - ROLLO POR 33 METROS"/>
    <n v="1000"/>
    <s v="UNIDAD"/>
    <n v="9390"/>
    <n v="1784.1"/>
    <n v="11174100"/>
    <x v="33"/>
  </r>
  <r>
    <x v="2"/>
    <s v="58476"/>
    <s v="CONTRATAR LA ADQUISICIÓN DE TAPETES BIOCOMPONENTE PARA LOS DESPACHOS JUDICIALES Y SEDES ADMINISTRATIVAS UBICADAS EN LA CIUDAD DE BOGOTÁ D.C., EN EL DEPARTAMENTO DE CUNDINAMARCA, LETICIA Y PTO NARIÑO AMAZONAS, A CARGO DE LA DIRECCIÓN EJECUTIVA SECCIONAL DE ADMINISTRACIÓN JUDICIAL - DESAJ, A TRAVÉS DEL INSTRUMENTO DE AGREGACIÓN DE DEMANDA DE COLOMBIA COMPRA EFICIENTE, TIENDA VIRTUAL DEL ESTADO COLOMBIANO."/>
    <d v="2020-11-12T00:00:00"/>
    <d v="2020-11-12T00:00:00"/>
    <n v="11905000"/>
    <n v="0"/>
    <s v="NACH SOLUCIONES AMBIENTALES E INDUSTRIALES S.A.S"/>
    <n v="9011694079"/>
    <s v="TAPETES BIOCOMPONENTE"/>
    <n v="100"/>
    <s v="UNIDAD"/>
    <n v="100042.01680672269"/>
    <n v="19007.983193277312"/>
    <n v="11905000"/>
    <x v="35"/>
  </r>
  <r>
    <x v="2"/>
    <s v="60422"/>
    <s v="CONTRATAR LA ADQUISICIÓN DE ALCOHOL ISOPROPILICO 70% EN GEL PARA ANTISEPSIA DE MANOS Y DISPENSADOR PLÁSTICO CON DOSIFICADOR TIPO VÁLVULA, CON DESTINO A LOS DESPACHOS JUDICIALES Y SEDES ADMINISTRATIVAS A CARGO DE LA DIRECCIÓN EJECUTIVA SECCIONAL DE ADMINISTRACIÓN JUDICIAL BOGOTÁ – CUNDINAMARCA, A TRAVÉS DEL INSTRUMENTO DE AGREGACIÓN DE DEMANDA DE COLOMBIA COMPRA EFICIENTE, TIENDA VIRTUAL DEL ESTADO COLOMBIANO."/>
    <d v="2020-12-02T00:00:00"/>
    <d v="2020-12-02T00:00:00"/>
    <n v="240900000"/>
    <n v="0"/>
    <s v="MARKETING STORE S.A.S"/>
    <n v="900141375"/>
    <s v="DISPENSADOR DE GEL -"/>
    <n v="100000"/>
    <s v="UNIDAD"/>
    <n v="2024.3697478991598"/>
    <n v="384.63025210084038"/>
    <n v="240900000"/>
    <x v="12"/>
  </r>
  <r>
    <x v="2"/>
    <s v="60423"/>
    <s v="CONTRATAR LA ADQUISICIÓN DE ALCOHOL ISOPROPILICO 70% EN GEL PARA ANTISEPSIA DE MANOS Y DISPENSADOR PLÁSTICO CON DOSIFICADOR TIPO VÁLVULA, CON DESTINO A LOS DESPACHOS JUDICIALES Y SEDES ADMINISTRATIVAS A CARGO DE LA DIRECCIÓN EJECUTIVA SECCIONAL DE ADMINISTRACIÓN JUDICIAL BOGOTÁ – CUNDINAMARCA, A TRAVÉS DEL INSTRUMENTO DE AGREGACIÓN DE DEMANDA DE COLOMBIA COMPRA EFICIENTE, TIENDA VIRTUAL DEL ESTADO COLOMBIANO."/>
    <d v="2020-12-02T00:00:00"/>
    <d v="2020-12-02T00:00:00"/>
    <n v="374860000"/>
    <n v="0"/>
    <s v="TENSOACTIVOS SG S.A.S"/>
    <n v="805023817"/>
    <s v="ALCOHOL ISOPROPILICO 70% EN GEL PARA ANTISEPSIA DE MANOS - FC X 500ML"/>
    <n v="50000"/>
    <s v="LITRO"/>
    <n v="7320"/>
    <n v="0"/>
    <n v="366000000"/>
    <x v="4"/>
  </r>
  <r>
    <x v="2"/>
    <s v="60729"/>
    <s v="CONTRATAR LA ADQUISICIÓN DE CÁMARAS WEB PARA LOS DESPACHOS JUDICIALES A CARGO DE ESTA DIRECCIÓN EJECUTIVA SECCIONAL DE ADMINISTRACIÓN JUDICIAL BOGOTÁ-CUNDINAMARCA., A TRAVÉS DEL INSTRUMENTO DE AGREGACIÓN DE DEMANDA EMERGENCIA COVID- 19, DE LA AGENCIA NACIONAL DE CONTRATACIÓN PÚBLICA – COLOMBIA COMPRA EFICIENTE."/>
    <d v="2020-12-04T00:00:00"/>
    <d v="2020-12-04T00:00:00"/>
    <n v="414215200"/>
    <n v="0"/>
    <s v="APICOM S.A.S"/>
    <n v="830105984"/>
    <s v="CAMARAS PARA ESCRITORIO - LOGITECH C930E"/>
    <n v="1000"/>
    <s v="UNIDAD"/>
    <n v="348080"/>
    <n v="66135.199999999997"/>
    <n v="414215200"/>
    <x v="18"/>
  </r>
  <r>
    <x v="2"/>
    <s v="61082"/>
    <s v="CONTRATAR LA ADQUISICIÓN DE TERMÓMETROS INFRARROJOS DIGITALES DE MANO, DE ALTA PRECISIÓN, PARA LA MEDICIÓN DE LA TEMPERATURA CORPORAL, REQUERIDOS PARA REALIZAR EL CONTROL DE TEMPERATURA CORPORAL DE FUNCIONARIOS, EMPLEADO Y USUARIOS EN LOS PUNTOS DE INGRESO A LAS SEDES JUDICIALES Y ADMINISTRATIVAS A CARGO DE LA DIRECCIÓN EJECUTIVA SECCIONAL DE ADMINISTRACIÓN JUDICIAL BOGOTÁ, CUNDINAMARCA Y AMAZONAS, A TRAVÉS DEL INSTRUMENTO DE AGREGACIÓN DE DEMANDA DE COLOMBIA COMPRA EFICIENTE, TIENDA VIRTUAL DEL ESTADO COLOMBIANO."/>
    <d v="2020-12-07T00:00:00"/>
    <d v="2020-12-07T00:00:00"/>
    <n v="2025000"/>
    <n v="0"/>
    <s v="AVANZA INTERNATIONAL GROUP"/>
    <n v="900505419"/>
    <s v="TERMÓMETROS INFRARROJOS DIGITALES DE MANO, DE ALTA PRECISIÓN, PARA LA MEDICIÓN DE LA TEMPERATURA CORPORAL"/>
    <n v="45"/>
    <s v="UNIDAD"/>
    <n v="45000"/>
    <n v="0"/>
    <n v="2025000"/>
    <x v="22"/>
  </r>
  <r>
    <x v="2"/>
    <s v="62413"/>
    <s v="CONTRATAR LA ADQUISICIÓN DE TAPABOCAS DESECHABLES PARA EMPLEADOS Y FUNCIONARIOS DE LOS DESPACHOS JUDICIALES Y SEDES ADMINISTRATIVAS UBICADAS EN LA CIUDAD DE BOGOTÁ D.C., EN MUNICIPIOS DEL DEPARTAMENTO DE CUNDINAMARCA Y AMAZONAS, A CARGO DE LA DIRECCIÓN EJECUTIVA SECCIONAL DE ADMINISTRACIÓN JUDICIAL - DESAJ, A TRAVÉS DEL INSTRUMENTO DE AGREGACIÓN DE DEMANDA DE COLOMBIA COMPRA EFICIENTE, TIENDA VIRTUAL DEL ESTADO COLOMBIANO."/>
    <d v="2020-12-21T00:00:00"/>
    <d v="2020-12-21T00:00:00"/>
    <n v="591954000"/>
    <n v="0"/>
    <s v="DOTACIONES EN SALUD DOTASALUD JC S.A.S"/>
    <n v="900053297"/>
    <s v="TAPABOCAS DESECHABLES"/>
    <n v="82000"/>
    <s v="UNIDAD"/>
    <n v="7218.9512195121952"/>
    <n v="0"/>
    <n v="591954000"/>
    <x v="3"/>
  </r>
  <r>
    <x v="2"/>
    <s v="62415"/>
    <s v="CONTRATAR LA ADQUISICIÓN DE GUANTES DE NITRILO, CON DESTINO A LOS DESPACHOS JUDICIALES Y SEDES ADMINISTRATIVAS DE LA CIUDAD DE BOGOTÁ D.C., A CARGO DE LA DIRECCIÓN EJECUTIVA SECCIONAL DE ADMINISTRACIÓN JUDICIAL BOGOTÁ – CUNDINAMARCA, A TRAVÉS DEL INSTRUMENTO DE AGREGACIÓN DE DEMANDA DE COLOMBIA COMPRA EFICIENTE, TIENDA VIRTUAL DEL ESTADO COLOMBIANO."/>
    <d v="2020-12-21T00:00:00"/>
    <d v="2020-12-21T00:00:00"/>
    <n v="3170000"/>
    <n v="0"/>
    <s v="SUMIMAS S.A.S"/>
    <n v="830001338"/>
    <s v="GUANTES DE NITRILO"/>
    <n v="50"/>
    <s v="CAJA X 100"/>
    <n v="63400"/>
    <n v="0"/>
    <n v="3170000"/>
    <x v="10"/>
  </r>
  <r>
    <x v="2"/>
    <s v="62416"/>
    <s v="CONTRATAR LA ADQUISICIÓN DE GUANTES DE NITRILO, CON DESTINO A LOS DESPACHOS JUDICIALES Y SEDES ADMINISTRATIVAS DE LA CIUDAD DE BOGOTÁ D.C., A CARGO DE LA DIRECCIÓN EJECUTIVA SECCIONAL DE ADMINISTRACIÓN JUDICIAL BOGOTÁ – CUNDINAMARCA, A TRAVÉS DEL INSTRUMENTO DE AGREGACIÓN DE DEMANDA DE COLOMBIA COMPRA EFICIENTE, TIENDA VIRTUAL DEL ESTADO COLOMBIANO."/>
    <d v="2020-12-21T00:00:00"/>
    <d v="2020-12-21T00:00:00"/>
    <n v="597200000"/>
    <n v="0"/>
    <s v="FELIPE MONDRAGON DUQUE"/>
    <n v="94409574"/>
    <s v="GUANTES DE NITRILO"/>
    <n v="9300"/>
    <s v="CAJA X 100"/>
    <n v="64215.053763440861"/>
    <n v="0"/>
    <n v="597200000"/>
    <x v="10"/>
  </r>
  <r>
    <x v="2"/>
    <s v="62417"/>
    <s v="CONTRATAR LA ADQUISICIÓN DE GUANTES DE NITRILO, CON DESTINO A LOS DESPACHOS JUDICIALES Y SEDES ADMINISTRATIVAS DE LA CIUDAD DE BOGOTÁ D.C., A CARGO DE LA DIRECCIÓN EJECUTIVA SECCIONAL DE ADMINISTRACIÓN JUDICIAL BOGOTÁ – CUNDINAMARCA, A TRAVÉS DEL INSTRUMENTO DE AGREGACIÓN DE DEMANDA DE COLOMBIA COMPRA EFICIENTE, TIENDA VIRTUAL DEL ESTADO COLOMBIANO."/>
    <d v="2020-12-21T00:00:00"/>
    <d v="2020-12-21T00:00:00"/>
    <n v="17250000"/>
    <n v="0"/>
    <s v="BON SANTE S.A.S"/>
    <n v="901211678"/>
    <s v="GUANTES DE NITRILO"/>
    <n v="300"/>
    <s v="CAJA X 100"/>
    <n v="57500"/>
    <n v="0"/>
    <n v="17250000"/>
    <x v="10"/>
  </r>
  <r>
    <x v="2"/>
    <s v="62778"/>
    <s v="CONTRATAR LA ADQUISICIÓN DE TOALLAS DE PAPEL CON DESTINO A LOS DESPACHOS JUDICIALES Y SEDES ADMINISTRATIVAS DE LA CIUDAD DE BOGOTÁ D.C., A CARGO DE LA DIRECCIÓN EJECUTIVA SECCIONAL DE ADMINISTRACIÓN JUDICIAL BOGOTÁ – CUNDINAMARCA, A TRAVÉS DEL INSTRUMENTO DE AGREGACIÓN DE DEMANDA DE COLOMBIA COMPRA EFICIENTE, TIENDA VIRTUAL DEL ESTADO COLOMBIANO."/>
    <d v="2020-12-24T00:00:00"/>
    <d v="2020-12-24T00:00:00"/>
    <n v="31430750"/>
    <n v="0"/>
    <s v="PAPER BOX SP S.A.S"/>
    <n v="900791672"/>
    <s v="TOALLAS PARA MANOS"/>
    <n v="8500"/>
    <s v="PAQUETE"/>
    <n v="3107.3405832921403"/>
    <n v="590.39471082550665"/>
    <n v="31430750"/>
    <x v="8"/>
  </r>
  <r>
    <x v="2"/>
    <s v="62779"/>
    <s v="CONTRATAR LA ADQUISICIÓN DE TOALLAS DE PAPEL CON DESTINO A LOS DESPACHOS JUDICIALES Y SEDES ADMINISTRATIVAS DE LA CIUDAD DE BOGOTÁ D.C., A CARGO DE LA DIRECCIÓN EJECUTIVA SECCIONAL DE ADMINISTRACIÓN JUDICIAL BOGOTÁ – CUNDINAMARCA, A TRAVÉS DEL INSTRUMENTO DE AGREGACIÓN DE DEMANDA DE COLOMBIA COMPRA EFICIENTE, TIENDA VIRTUAL DEL ESTADO COLOMBIANO."/>
    <d v="2020-12-24T00:00:00"/>
    <d v="2020-12-24T00:00:00"/>
    <n v="3889300"/>
    <n v="0"/>
    <s v="SUMIMAS S.A.S"/>
    <n v="830001338"/>
    <s v="TOALLAS PARA MANOS"/>
    <n v="1000"/>
    <s v="PAQUETE"/>
    <n v="3268.3193277310929"/>
    <n v="620.98067226890771"/>
    <n v="3889300.0000000005"/>
    <x v="8"/>
  </r>
  <r>
    <x v="2"/>
    <s v="62780"/>
    <s v="CONTRATAR LA ADQUISICIÓN DE TOALLAS DE PAPEL CON DESTINO A LOS DESPACHOS JUDICIALES Y SEDES ADMINISTRATIVAS DE LA CIUDAD DE BOGOTÁ D.C., A CARGO DE LA DIRECCIÓN EJECUTIVA SECCIONAL DE ADMINISTRACIÓN JUDICIAL BOGOTÁ – CUNDINAMARCA, A TRAVÉS DEL INSTRUMENTO DE AGREGACIÓN DE DEMANDA DE COLOMBIA COMPRA EFICIENTE, TIENDA VIRTUAL DEL ESTADO COLOMBIANO."/>
    <d v="2020-12-24T00:00:00"/>
    <d v="2020-12-24T00:00:00"/>
    <n v="7079650"/>
    <n v="0"/>
    <s v="DIGITEL TECHNOLOGY S.A.S"/>
    <n v="901104771"/>
    <s v="TOALLAS PARA MANOS"/>
    <n v="1500"/>
    <s v="PAQUETE"/>
    <n v="3966.1904761904761"/>
    <n v="753.5761904761905"/>
    <n v="7079650"/>
    <x v="8"/>
  </r>
  <r>
    <x v="3"/>
    <s v="BGA-011-2020"/>
    <s v="DOTACION DE TRAJES DE BIOSEGURIDAD"/>
    <d v="2020-03-17T00:00:00"/>
    <d v="2020-03-18T00:00:00"/>
    <n v="25281431"/>
    <n v="0"/>
    <s v="TECHNICAL SOLUTIONS SAFETY SAS"/>
    <n v="901095058"/>
    <s v="TRAJES DE PROTECCION CORPORAL MARCA KIMBERLY"/>
    <n v="1350"/>
    <s v="UNIDAD"/>
    <n v="15374"/>
    <n v="2921.06"/>
    <n v="24698331"/>
    <x v="0"/>
  </r>
  <r>
    <x v="3"/>
    <s v="BGA-011-2020"/>
    <s v="DOTACION DE TRAJES DE BIOSEGURIDAD"/>
    <d v="2020-03-17T00:00:00"/>
    <d v="2020-03-18T00:00:00"/>
    <n v="25281431"/>
    <n v="0"/>
    <s v="TECHNICAL SOLUTIONS SAFETY SAS"/>
    <n v="901095058"/>
    <s v="MONOGAFAS WIND VENTILACION DIRECTA"/>
    <n v="70"/>
    <s v="UNIDAD"/>
    <n v="7000"/>
    <n v="1330"/>
    <n v="583100"/>
    <x v="2"/>
  </r>
  <r>
    <x v="3"/>
    <s v="BGA-012-2020"/>
    <s v="COMPRAVENTA DE CÁMARAS WEB TIPO HD Y DIADEMAS CON CONEXIÓN USB PARA DESARROLLAR PRINCIPALMENTE LAS AUDIENCIAS DE CONTROL DE GARANTÍAS DEL SISTEMA PENAL ACUSATORIO Y DEL SISTEMA PENAL PARA ADOLESCENTES COMO MECANISMO PARA ATENDER LA EMERGENCIA SANITARIA OCASIONADA POR EL COVID-19 "/>
    <d v="2020-03-27T00:00:00"/>
    <d v="2020-03-27T00:00:00"/>
    <n v="11284977"/>
    <n v="0"/>
    <s v="JERSON FABIAN SUAREZ BENITEZ"/>
    <n v="1095815252"/>
    <s v="WEBCAMLOGITECH C-270 HD: CÁMARAWEB CON CONECTIVIDAD INALÁMBRICA COLOR NEGRO."/>
    <n v="37"/>
    <s v="UNIDAD"/>
    <n v="138655"/>
    <n v="26344.45"/>
    <n v="6104979.6500000004"/>
    <x v="18"/>
  </r>
  <r>
    <x v="3"/>
    <s v="BGA-012-2020"/>
    <s v="COMPRAVENTA DE CÁMARAS WEB TIPO HD Y DIADEMAS CON CONEXIÓN USB PARA DESARROLLAR PRINCIPALMENTE LAS AUDIENCIAS DE CONTROL DE GARANTÍAS DEL SISTEMA PENAL ACUSATORIO Y DEL SISTEMA PENAL PARA ADOLESCENTES COMO MECANISMO PARA ATENDER LA EMERGENCIA SANITARIA OCASIONADA POR EL COVID-19 "/>
    <d v="2020-03-27T00:00:00"/>
    <d v="2020-03-27T00:00:00"/>
    <n v="11284977"/>
    <n v="0"/>
    <s v="JERSON FABIAN SUAREZ BENITEZ"/>
    <n v="1095815252"/>
    <s v="DIADEMA LOGITECH USB HEADSET H-390: AURICULARES CON  MICRÓFONO  USB  PARA  ORDENADOR. LAS BOCINAS DE LOS AUDÍFONOS SON DE ALTA CALIDAD REPRODUCEN UN EXCELENTE AUDIO Y EL MICRÓFONO AJUSTABLE CON SUPRESIÓN DE RUIDO ASEGURA UNA COMUNICACIÓN CLARA."/>
    <n v="37"/>
    <s v="UNIDAD"/>
    <n v="117647"/>
    <n v="22352.93"/>
    <n v="5179997.41"/>
    <x v="19"/>
  </r>
  <r>
    <x v="3"/>
    <s v="BGA-015-2020"/>
    <s v="ADQUISICIÓN DE ELEMENTOS DE PROTECCIÓN PERSONAL ESPECÍFICAMENTE TAPABOCAS REUTILIZABLES"/>
    <d v="2020-04-17T00:00:00"/>
    <d v="2020-04-17T00:00:00"/>
    <n v="27000000"/>
    <n v="0"/>
    <s v="TURISMO Y TIENDA ESPECIALIZADA EN ALTURAS Y AVENTURA S.A.S "/>
    <n v="900481697"/>
    <s v="TAPABOCAS LAVABLE, CON CAPA ANTIFLUIDO Y CAMBRE, ELÁSTICO A LAS OREJAS, DE TAMAÑO NORMAL Y UN TAMAÑO UN POCO MÁS PEQUEÑO PARA NIÑOS."/>
    <n v="18000"/>
    <s v="UNIDAD"/>
    <n v="1500"/>
    <n v="0"/>
    <n v="27000000"/>
    <x v="3"/>
  </r>
  <r>
    <x v="3"/>
    <s v="O.C. 46421"/>
    <s v="SUMINISTRO DE ELEMENTOS DE ASEO Y PROTECCIÓN"/>
    <d v="2020-03-20T00:00:00"/>
    <d v="2020-03-20T00:00:00"/>
    <n v="33831700"/>
    <n v="0"/>
    <s v="PANAMERICANA LIBRERÍA Y PAPELERIA SA"/>
    <n v="830037946"/>
    <s v="JABON LIQUIDO P/MANOSC/GLICERINA "/>
    <n v="5700"/>
    <s v="LITRO"/>
    <n v="5261.0526315789475"/>
    <n v="0"/>
    <n v="29988000"/>
    <x v="5"/>
  </r>
  <r>
    <x v="3"/>
    <s v="O.C. 46421"/>
    <s v="SUMINISTRO DE ELEMENTOS DE ASEO Y PROTECCIÓN"/>
    <d v="2020-03-20T00:00:00"/>
    <d v="2020-03-20T00:00:00"/>
    <n v="33831700"/>
    <n v="0"/>
    <s v="PANAMERICANA LIBRERÍA Y PAPELERIA SA"/>
    <n v="830037946"/>
    <s v="TOALLA P/MANOS BLANCO Z D/HFAJO X150UN COD. 900502987"/>
    <n v="500"/>
    <s v="PAQUETE"/>
    <n v="6664"/>
    <n v="0"/>
    <n v="3332000"/>
    <x v="8"/>
  </r>
  <r>
    <x v="3"/>
    <s v="O.C. 46421"/>
    <s v="SUMINISTRO DE ELEMENTOS DE ASEO Y PROTECCIÓN"/>
    <d v="2020-03-20T00:00:00"/>
    <d v="2020-03-20T00:00:00"/>
    <n v="33831700"/>
    <n v="0"/>
    <s v="PANAMERICANA LIBRERÍA Y PAPELERIA SA"/>
    <n v="830037946"/>
    <s v="JABON MANOS AVENA/DISPENSADOR COD: 900502307"/>
    <n v="50"/>
    <s v="LITRO"/>
    <n v="10234"/>
    <n v="0"/>
    <n v="511700"/>
    <x v="5"/>
  </r>
  <r>
    <x v="3"/>
    <s v="O.C. 48149"/>
    <s v="ADQUISICIÓN DE TERMÓMETROS INFRARROJOS CORPORALES"/>
    <d v="2020-05-07T00:00:00"/>
    <d v="2020-05-07T00:00:00"/>
    <n v="17825000"/>
    <n v="0"/>
    <s v="FALABELLA DE COLOMBIA S.A."/>
    <n v="900017447"/>
    <s v="TERMÓMETRO INFRAROJO DIGITAL- HC"/>
    <n v="31"/>
    <s v="UNIDAD"/>
    <n v="575000"/>
    <n v="0"/>
    <n v="17825000"/>
    <x v="22"/>
  </r>
  <r>
    <x v="3"/>
    <s v="O.C. 48150"/>
    <s v="ADQUISICIÓN DE BAYETILLAS BLANCAS DE 35 X 50 CMS PARA LIMPIEZA DE SUPERFICIES"/>
    <d v="2020-05-07T00:00:00"/>
    <d v="2020-05-07T00:00:00"/>
    <n v="3284400"/>
    <n v="0"/>
    <s v="PANAMERICANA LIBRERÍA Y PAPELERÍA S.A. "/>
    <n v="830037946"/>
    <s v="BAYETILLA BLANCA 35 X 50 CMS. COD:8490681"/>
    <n v="1840"/>
    <s v="UNIDAD"/>
    <n v="1785"/>
    <n v="0"/>
    <n v="3284400"/>
    <x v="27"/>
  </r>
  <r>
    <x v="3"/>
    <s v="O.C. 48216"/>
    <s v="ADQUISICIÓN DE PA-17 GEL ANTIBACTERIAL - GALÓN"/>
    <d v="2020-05-08T00:00:00"/>
    <d v="2020-05-08T00:00:00"/>
    <n v="2416900"/>
    <n v="0"/>
    <s v="JAIME BELTRAN URIBE - POLYFLEX"/>
    <n v="10125834"/>
    <s v="COV01-PA-17 - GEL ANTIBACTERIAL"/>
    <n v="193.05591000000001"/>
    <s v="LITRO"/>
    <n v="11068.814210349738"/>
    <n v="0"/>
    <n v="2136900"/>
    <x v="4"/>
  </r>
  <r>
    <x v="3"/>
    <s v="O.C. 48217"/>
    <s v="ADQUISICIÓN DE PA-18 GEL ANTIBACTERIAL - FRASCO X1LT"/>
    <d v="2020-05-08T00:00:00"/>
    <d v="2020-05-08T00:00:00"/>
    <n v="30000000"/>
    <n v="0"/>
    <s v="JM GRUPO EMPRESARIAL S.A.S "/>
    <n v="900353659"/>
    <s v="COV01-PA-18 - GEL ANTIBACTERIAL -"/>
    <n v="2000"/>
    <s v="LITRO"/>
    <n v="15000"/>
    <n v="0"/>
    <n v="30000000"/>
    <x v="4"/>
  </r>
  <r>
    <x v="3"/>
    <s v="O.C. 48218"/>
    <s v="ADQUISICIÓN DE PA-1 ALCOHOL – FRASCO DE 750 ML"/>
    <d v="2020-05-08T00:00:00"/>
    <d v="2020-05-08T00:00:00"/>
    <n v="7907306"/>
    <n v="0"/>
    <s v="SUMIMAS S.A.S"/>
    <n v="830001338"/>
    <s v="COV01-PA-1 - ALCOHOL"/>
    <n v="824.25"/>
    <s v="LITRO"/>
    <n v="9593.3333333333339"/>
    <n v="0"/>
    <n v="7907305.0000000009"/>
    <x v="26"/>
  </r>
  <r>
    <x v="3"/>
    <s v="BGA-016-2020"/>
    <s v="ADQUISICIÓN DE KIT DE DESINFECCIÓN, QUE INCLUYE DE TAPETE EN LÍQUIDO, TAPETE DE SECADO Y SANITIZANTE EN SOLUCIÓN"/>
    <d v="2020-05-12T00:00:00"/>
    <d v="2020-05-13T00:00:00"/>
    <n v="10399998"/>
    <n v="0"/>
    <s v="COMERCIALIZADORA DA VINCI SAS"/>
    <n v="900151140"/>
    <s v="KIT CONTIENE 2 TAPETES PARA DESINFECCION EN LIQUIDO"/>
    <n v="32"/>
    <s v="KIT"/>
    <n v="210083.99"/>
    <n v="39915.958099999996"/>
    <n v="7999998.3391999993"/>
    <x v="35"/>
  </r>
  <r>
    <x v="3"/>
    <s v="BGA-016-2020"/>
    <s v="ADQUISICIÓN DE KIT DE DESINFECCIÓN, QUE INCLUYE DE TAPETE EN LÍQUIDO, TAPETE DE SECADO Y SANITIZANTE EN SOLUCIÓN"/>
    <d v="2020-05-12T00:00:00"/>
    <d v="2020-05-13T00:00:00"/>
    <n v="10399998"/>
    <n v="0"/>
    <s v="COMERCIALIZADORA DA VINCI SAS"/>
    <n v="900151140"/>
    <s v="SANITIZANTE EN SOLUCION"/>
    <n v="144"/>
    <s v="LITRO"/>
    <n v="16666.666666666668"/>
    <n v="0"/>
    <n v="2400000"/>
    <x v="4"/>
  </r>
  <r>
    <x v="3"/>
    <s v="O.C. 48345"/>
    <s v="ADQUISICIÓN DE PILAS 9V PARA TERMOMETROS"/>
    <d v="2020-05-12T00:00:00"/>
    <d v="2020-05-12T00:00:00"/>
    <n v="1142400"/>
    <n v="0"/>
    <s v="PANAMERICANA LIBRERÍA Y PAPELERÍA S.A."/>
    <n v="830037946"/>
    <s v="PILA ALKALINA 9V ENERGIZER MAXCOD: 8096731"/>
    <n v="100"/>
    <s v="UNIDAD"/>
    <n v="9600"/>
    <n v="1824"/>
    <n v="1142400"/>
    <x v="36"/>
  </r>
  <r>
    <x v="3"/>
    <s v="BGA-017-2020"/>
    <s v="PRESTACIÓN DEL SERVICIO DE ALQUILER DE 53 ESCÁNER CAMA PLANA DE 50PPM PARA FUNCIONAMIENTO DE LOS CENTROS DE ESCANEO EN ALGUNAS SEDES JUDICIALES"/>
    <d v="2020-05-18T00:00:00"/>
    <d v="2020-05-18T00:00:00"/>
    <n v="34947325"/>
    <n v="0"/>
    <s v="PC COM S.A."/>
    <n v="830044858"/>
    <s v="SERVICIO DE ALQUILER DE 7 ESCANERES CON INSTALACIÓN "/>
    <n v="7"/>
    <s v="VALOR MENSUAL POR EQUIPO"/>
    <n v="269000"/>
    <n v="51110"/>
    <n v="2240770"/>
    <x v="14"/>
  </r>
  <r>
    <x v="3"/>
    <s v="BGA-017-2020"/>
    <s v="PRESTACIÓN DEL SERVICIO DE ALQUILER DE 53 ESCÁNER CAMA PLANA DE 50PPM PARA FUNCIONAMIENTO DE LOS CENTROS DE ESCANEO EN ALGUNAS SEDES JUDICIALES"/>
    <d v="2020-05-18T00:00:00"/>
    <d v="2020-05-18T00:00:00"/>
    <n v="34947325"/>
    <n v="0"/>
    <s v="PC COM S.A."/>
    <n v="830044858"/>
    <s v="SERVICIO DE ALQUILER DE 46 ESCANERES  SIN INSTALACIÓN "/>
    <n v="46"/>
    <s v="VALOR MENSUAL POR EQUIPO"/>
    <n v="219000"/>
    <n v="41610"/>
    <n v="11988060"/>
    <x v="14"/>
  </r>
  <r>
    <x v="3"/>
    <s v="BGA-017-2020"/>
    <s v="PRESTACIÓN DEL SERVICIO DE ALQUILER DE 53 ESCÁNER CAMA PLANA DE 50PPM PARA FUNCIONAMIENTO DE LOS CENTROS DE ESCANEO EN ALGUNAS SEDES JUDICIALES"/>
    <d v="2020-05-18T00:00:00"/>
    <d v="2020-05-18T00:00:00"/>
    <n v="34947325"/>
    <n v="0"/>
    <s v="PC COM S.A."/>
    <n v="830044858"/>
    <s v="ADICION SERVICIO DE ALQUILER DE 53 ESCANERES SIN INSTALACIÓN "/>
    <n v="53"/>
    <s v="VALOR MENSUAL POR EQUIPO"/>
    <n v="219000"/>
    <n v="41610"/>
    <n v="13812330"/>
    <x v="14"/>
  </r>
  <r>
    <x v="3"/>
    <s v="O.C. 48745"/>
    <s v="ADQUISICIÓN DE GUANTES DE NITRILO, EN LAS CONDICIONES TÉCNICAS, DE CALIDAD Y CANTIDADES REQUERIDAS POR LA ENTIDAD"/>
    <d v="2020-05-19T00:00:00"/>
    <d v="2020-05-19T00:00:00"/>
    <n v="9318300"/>
    <n v="0"/>
    <s v="OFIBEST SAS "/>
    <n v="900350133"/>
    <s v="GUANTES DE NITRILO"/>
    <n v="178"/>
    <s v="CAJA X 100"/>
    <n v="52350"/>
    <n v="0"/>
    <n v="9318300"/>
    <x v="10"/>
  </r>
  <r>
    <x v="3"/>
    <s v="O.C. 48844"/>
    <s v="ADQUISICIÓN DE LAVAMANOS PORTÁTILES AUTÓNOMOS COMO MECANISMO DE PREVENCIÓN AL CONTAGIO DEL COVID-19"/>
    <d v="2020-05-20T00:00:00"/>
    <d v="2020-05-20T00:00:00"/>
    <n v="7102970"/>
    <n v="0"/>
    <s v="COLOMBIANA DE COMERCIO S.A Y/O ALKOSTO S.A"/>
    <n v="890900943"/>
    <s v="LAVAMANOS AUTONOMO PORTATIL EN ACERO INOXIDABLE"/>
    <n v="5"/>
    <s v="UNIDAD"/>
    <n v="1193776.4705882354"/>
    <n v="226817.52941176473"/>
    <n v="7102970.0000000009"/>
    <x v="9"/>
  </r>
  <r>
    <x v="3"/>
    <s v="O.C 49177"/>
    <s v="ADQUISICIÓN DE DISPENSADORES DE GEL PARA DIFERENTES SEDES JUDICIALES EN LAS CONDICIONES TÉCNICAS, DE CALIDAD Y CANTIDADES REQUERIDAS POR LA ENTIDAD."/>
    <d v="2020-05-26T00:00:00"/>
    <d v="2020-05-26T00:00:00"/>
    <n v="2990000"/>
    <n v="0"/>
    <s v="CENCOSUD COLOMBIA S.A. "/>
    <n v="900155107"/>
    <s v="DISPENSADOR DE GEL PLANO TUBERIA 1PULGADA NEGRO"/>
    <n v="23"/>
    <s v="UNIDAD"/>
    <n v="109243.6974789916"/>
    <n v="20756.302521008405"/>
    <n v="2990000"/>
    <x v="12"/>
  </r>
  <r>
    <x v="3"/>
    <s v="O.C. 49312"/>
    <s v="ADQUISICIÓN DE TAPABOCAS DESECHABLES, EN LAS CONDICIONES TÉCNICAS, DE CALIDAD Y CANTIDADES REQUERIDAS POR LA ENTIDAD."/>
    <d v="2020-05-28T00:00:00"/>
    <d v="2020-05-28T00:00:00"/>
    <n v="41536001"/>
    <n v="0"/>
    <s v="SUMIMAS S.A.S"/>
    <n v="830001338"/>
    <s v="TAPABOCAS DESECHABLES"/>
    <n v="32000"/>
    <s v="UNIDAD"/>
    <n v="1298"/>
    <n v="0"/>
    <n v="41536000"/>
    <x v="3"/>
  </r>
  <r>
    <x v="3"/>
    <s v="O.C 49216"/>
    <s v="ADQUISICIÓN DE TAPABOCAS DESECHABLES EN LAS CONDICIONES TÉCNICAS, DE CALIDAD Y CANTIDADES REQUERIDAS POR LA ENTIDAD"/>
    <d v="2020-06-02T00:00:00"/>
    <d v="2020-06-02T00:00:00"/>
    <n v="278000"/>
    <n v="0"/>
    <s v="INDUHOTEL SAS"/>
    <n v="900300970"/>
    <s v="TAPABOCAS DESECHABLES"/>
    <n v="200"/>
    <s v="UNIDAD"/>
    <n v="1290"/>
    <n v="0"/>
    <n v="258000"/>
    <x v="3"/>
  </r>
  <r>
    <x v="3"/>
    <s v="O.C. 49219"/>
    <s v="ADQUISICIÓN DE TOALLAS PARA MANOS, EN LAS CONDICIONES TÉCNICAS, DE CALIDAD Y CANTIDADES REQUERIDAS POR LA ENTIDAD,"/>
    <d v="2020-06-02T00:00:00"/>
    <d v="2020-06-02T00:00:00"/>
    <n v="9984000"/>
    <n v="0"/>
    <s v="PMI PROYECTOS MONTAJES E INGENIERIA"/>
    <n v="900704052"/>
    <s v="TOALLAS PARA MANOS X 150 UNIDADES"/>
    <n v="2000"/>
    <s v="PAQUETE"/>
    <n v="4742"/>
    <n v="0"/>
    <n v="9484000"/>
    <x v="8"/>
  </r>
  <r>
    <x v="3"/>
    <s v="O.C. 49861"/>
    <s v="ADQUISICIÓN DE CARETAS DE PROTECCIÓN, EN LAS CONDICIONES TÉCNICAS, DE CALIDAD Y CANTIDADES REQUERIDAS POR LA ENTIDAD "/>
    <d v="2020-06-04T00:00:00"/>
    <d v="2020-06-04T00:00:00"/>
    <n v="11002000"/>
    <n v="0"/>
    <s v="ABBAPLAX SAS"/>
    <n v="860062147"/>
    <s v="CARETAS VISORES"/>
    <n v="829"/>
    <s v="UNIDAD"/>
    <n v="13000"/>
    <n v="0"/>
    <n v="10777000"/>
    <x v="11"/>
  </r>
  <r>
    <x v="3"/>
    <s v="BGA-020-2020"/>
    <s v=" ADQUISICIÓN DE SEÑALIZACIÓN COVID PARA SEDES JUDICIALES Y ADMINISTRATIVAS"/>
    <d v="2020-06-12T00:00:00"/>
    <d v="2020-06-19T00:00:00"/>
    <n v="4235200"/>
    <n v="0"/>
    <s v="RAMIRO BAUTISTA CACERES/ LITOGRAFÍA RABAC DISTRIBUCIONES"/>
    <n v="138486039"/>
    <s v="RÓTULOS INFORMATIVOS EN POLIESTIRENO 50 X 70 CM"/>
    <n v="104"/>
    <s v="UNIDAD"/>
    <n v="18487.394957983193"/>
    <n v="3512.6050420168067"/>
    <n v="2288000"/>
    <x v="33"/>
  </r>
  <r>
    <x v="3"/>
    <s v="BGA-020-2020"/>
    <s v=" ADQUISICIÓN DE SEÑALIZACIÓN COVID PARA SEDES JUDICIALES Y ADMINISTRATIVAS"/>
    <d v="2020-06-12T00:00:00"/>
    <d v="2020-06-19T00:00:00"/>
    <n v="4235200"/>
    <n v="0"/>
    <s v="RAMIRO BAUTISTA CACERES/ LITOGRAFÍA RABAC DISTRIBUCIONES"/>
    <n v="138486039"/>
    <s v="RÓTULOS INFORMATIVOS EN POLIESTIRENO 30 X 14 CM"/>
    <n v="108"/>
    <s v="UNIDAD"/>
    <n v="2689.0756302521008"/>
    <n v="510.92436974789916"/>
    <n v="345600"/>
    <x v="33"/>
  </r>
  <r>
    <x v="3"/>
    <s v="BGA-020-2020"/>
    <s v=" ADQUISICIÓN DE SEÑALIZACIÓN COVID PARA SEDES JUDICIALES Y ADMINISTRATIVAS"/>
    <d v="2020-06-12T00:00:00"/>
    <d v="2020-06-19T00:00:00"/>
    <n v="4235200"/>
    <n v="0"/>
    <s v="RAMIRO BAUTISTA CACERES/ LITOGRAFÍA RABAC DISTRIBUCIONES"/>
    <n v="138486039"/>
    <s v="IMPRESIÓN EN VINILO ADHESIVO LAMINADO CON FLOOR GRAPHIC 5CM X 1MT LINEAL "/>
    <n v="572"/>
    <s v="UNIDAD"/>
    <n v="2352.9411764705883"/>
    <n v="447.05882352941177"/>
    <n v="1601600"/>
    <x v="33"/>
  </r>
  <r>
    <x v="3"/>
    <s v="BGA-021-2020"/>
    <s v="CONTRATAR LA PRESTACIÓN DE SERVICIOS DE APOYO DE VIGÍAS DE SALUD PARA EL FORTALECIMIENTO DE LAS MEDIDAS DE PREVENCIÓN DEL CONTAGIO Y DE LA PROPAGACIÓN DEL COVID -19, ENCARGADOS DE LA TOMA DE TEMPERATURA CORPORAL O DILIGENCIAMIENTO DEL FORMATO DE ESTADO DE SALUD, ENTREGA DE ELEMENTOS DE PROTECCIÓN A SERVIDORES JUDICIALES, CONTRATISTAS Y JUDICANTES, Y DE VELAR POR EL CUMPLIMIENTO DE LOS PROTOCOLOS DE BIOSEGURIDAD DEFINIDOS POR LA ENTIDAD, EN LAS SEDES JUDICIALES DE MAYOR AFLUENCIA DE LA SECCIONAL SANTANDER"/>
    <d v="2020-06-17T00:00:00"/>
    <d v="2020-06-19T00:00:00"/>
    <n v="206400000"/>
    <n v="0"/>
    <s v="JUNTA DEFENSA CIVIL BARRIO LA JOYA "/>
    <n v="890209025"/>
    <s v="PREVENCIÓN Y CONTROL DE ENFERMEDADES CONTAGIOSAS (PERFIL 1) POR 1 MES"/>
    <n v="12"/>
    <s v="VALOR MENSUAL POR PERSONA"/>
    <n v="2400000"/>
    <n v="0"/>
    <n v="28800000"/>
    <x v="6"/>
  </r>
  <r>
    <x v="3"/>
    <s v="BGA-021-2020"/>
    <s v="CONTRATAR LA PRESTACIÓN DE SERVICIOS DE APOYO DE VIGÍAS DE SALUD PARA EL FORTALECIMIENTO DE LAS MEDIDAS DE PREVENCIÓN DEL CONTAGIO Y DE LA PROPAGACIÓN DEL COVID -19, ENCARGADOS DE LA TOMA DE TEMPERATURA CORPORAL O DILIGENCIAMIENTO DEL FORMATO DE ESTADO DE SALUD, ENTREGA DE ELEMENTOS DE PROTECCIÓN A SERVIDORES JUDICIALES, CONTRATISTAS Y JUDICANTES, Y DE VELAR POR EL CUMPLIMIENTO DE LOS PROTOCOLOS DE BIOSEGURIDAD DEFINIDOS POR LA ENTIDAD, EN LAS SEDES JUDICIALES DE MAYOR AFLUENCIA DE LA SECCIONAL SANTANDER"/>
    <d v="2020-06-17T00:00:00"/>
    <d v="2020-06-19T00:00:00"/>
    <n v="206400000"/>
    <n v="0"/>
    <s v="JUNTA DEFENSA CIVIL BARRIO LA JOYA "/>
    <n v="890209025"/>
    <s v="PREVENCIÓN Y CONTROL DE ENFERMEDADES CONTAGIOSAS (PERFIL 2) POR 1 MES"/>
    <n v="12"/>
    <s v="VALOR MENSUAL POR PERSONA"/>
    <n v="1900000"/>
    <n v="0"/>
    <n v="22800000"/>
    <x v="6"/>
  </r>
  <r>
    <x v="3"/>
    <s v="O.C. 51658"/>
    <s v="COMPRA DE CAMARAS PARA ESCRITORIO - DIGITECH PRO"/>
    <d v="2020-07-08T00:00:00"/>
    <d v="2020-07-08T00:00:00"/>
    <n v="51086700"/>
    <n v="0"/>
    <s v="MULTIVERSE TECH SERVICES SAS "/>
    <n v="900584757"/>
    <s v="CAMARAS PARA ESCRITORIO DIGITECH PRO"/>
    <n v="135"/>
    <s v="UNIDAD"/>
    <n v="318000"/>
    <n v="60420"/>
    <n v="51086700"/>
    <x v="18"/>
  </r>
  <r>
    <x v="3"/>
    <s v="O.C. 52831"/>
    <s v="ADQUISICIÓN DE CARETAS O VISORES PET, EN LAS CONDICIONES TÉCNICAS, DE CALIDAD Y CANTIDADES REQUERIDAS POR LA ENTIDAD."/>
    <d v="2020-07-29T00:00:00"/>
    <d v="2020-07-29T00:00:00"/>
    <n v="1341920"/>
    <n v="0"/>
    <s v="ABBAPLAX SAS"/>
    <n v="860062147"/>
    <s v="CARETAS VISORES"/>
    <n v="388"/>
    <s v="UNIDAD"/>
    <n v="2840"/>
    <n v="0"/>
    <n v="1101920"/>
    <x v="11"/>
  </r>
  <r>
    <x v="3"/>
    <s v="O.C. 52832"/>
    <s v="ADQUISICIÓN DE GUANTES DE NITRILO, EN LAS CONDICIONES TÉCNICAS, DE CALIDAD Y CANTIDADES REQUERIDAS POR LA ENTIDAD."/>
    <d v="2020-07-29T00:00:00"/>
    <d v="2020-07-29T00:00:00"/>
    <n v="49100000"/>
    <n v="0"/>
    <s v="AESTHETICS &amp; MEDICAL SOLUTIONS SAS"/>
    <n v="900567130"/>
    <s v="GUANTES DE NITRILO"/>
    <n v="1080"/>
    <s v="CAJA X 100"/>
    <n v="45000"/>
    <n v="0"/>
    <n v="48600000"/>
    <x v="10"/>
  </r>
  <r>
    <x v="3"/>
    <s v="BGA-025-2020"/>
    <s v="ADQUISICIÓN E INSTALACIÓN DE VENTANERÍA EN ALUMINIO Y VIDRIO PARA PUNTOS DE ATENCIÓN, DIVISIONES MODULARES EN PUESTOS DE TRABAJO COMO MEDIDA PREVENTIVA ANTE EL RIESGO DE CONTAGIO POR COVID-19"/>
    <d v="2020-09-11T00:00:00"/>
    <d v="2020-09-09T00:00:00"/>
    <n v="190000000"/>
    <n v="0"/>
    <s v="LIMACOR MY SAS"/>
    <n v="900126632"/>
    <s v="MODULOS DE VENTAMERIA EN ALUMINIO PARA ATENCION AL PUBLICO"/>
    <n v="763.42"/>
    <s v="METRO CUADRADO"/>
    <n v="209142.89060571967"/>
    <n v="39737.149215086742"/>
    <n v="190000000.00000003"/>
    <x v="13"/>
  </r>
  <r>
    <x v="3"/>
    <s v="BGA-028-2020"/>
    <s v="PRESTACIÓN DEL SERVICIO DE ALQUILER DE 53 EQUIPOS DE ESCÁNER CAMA PLANA DE 50PPM"/>
    <d v="2020-10-20T00:00:00"/>
    <d v="2020-10-22T00:00:00"/>
    <n v="31256540"/>
    <n v="0"/>
    <s v="P.C. COM S.A."/>
    <n v="830044858"/>
    <s v="ARRIENDO DE ESCANER POR DOS MESES"/>
    <n v="53"/>
    <s v="VALOR MENSUAL POR EQUIPO"/>
    <n v="247792.45"/>
    <n v="47080.565500000004"/>
    <n v="31256539.643000003"/>
    <x v="14"/>
  </r>
  <r>
    <x v="3"/>
    <s v="BGA-034-2020"/>
    <s v="CONTRATAR EN NOMBRE DE LA NACIÓN – CONSEJO SUPERIOR DE JUDICATURA – DIRECCIÓN EJECUTIVA SECCIONAL DE ADMINISTRACIÓN JUDICIAL DE BUCARAMANGA, LA ADQUISICIÓN DE TAPABOCAS DESECHABLES Y GEL ANTIBACTERIAL, EN LAS CONDICIONES TÉCNICAS, DE CALIDAD Y CANTIDADES REQUERIDAS POR LA ENTIDAD."/>
    <d v="2020-11-25T00:00:00"/>
    <d v="2020-11-25T00:00:00"/>
    <n v="30398300"/>
    <n v="0"/>
    <s v="GRUPO GESTIÓN EMPRESARIAL COLOMBIA S.A.S"/>
    <n v="901346888"/>
    <s v="ALCOHOL ANTISEPTICO AL 70% 600 ML"/>
    <n v="3439.8"/>
    <s v="LITRO"/>
    <n v="4332.95"/>
    <n v="0"/>
    <n v="14904481.41"/>
    <x v="26"/>
  </r>
  <r>
    <x v="3"/>
    <s v="BGA-034-2020"/>
    <s v="CONTRATAR EN NOMBRE DE LA NACIÓN – CONSEJO SUPERIOR DE JUDICATURA – DIRECCIÓN EJECUTIVA SECCIONAL DE ADMINISTRACIÓN JUDICIAL DE BUCARAMANGA, LA ADQUISICIÓN DE TAPABOCAS DESECHABLES Y GEL ANTIBACTERIAL, EN LAS CONDICIONES TÉCNICAS, DE CALIDAD Y CANTIDADES REQUERIDAS POR LA ENTIDAD."/>
    <d v="2020-11-25T00:00:00"/>
    <d v="2020-11-25T00:00:00"/>
    <n v="30398300"/>
    <n v="0"/>
    <s v="GRUPO GESTIÓN EMPRESARIAL COLOMBIA S.A.S"/>
    <n v="901346888"/>
    <s v="TOALLAS DE MANO DE PAPEL COLOR NATURAL"/>
    <n v="4200"/>
    <s v="PAQUETE"/>
    <n v="3100"/>
    <n v="589"/>
    <n v="15493800"/>
    <x v="8"/>
  </r>
  <r>
    <x v="3"/>
    <s v="BGA-039-2020"/>
    <s v="CONTRATAR EN NOMBRE DE LA NACIÓN – CONSEJO SUPERIOR DE JUDICATURA –DIRECCIÓN EJECUTIVA SECCIONAL DE ADMINISTRACIÓN JUDICIAL DE BUCARAMANGA, LA ADQUISICIÓN DE CÁMARAS WEB Y DIADEMAS, EN LAS CONDICIONES TÉCNICAS, DE CALIDAD Y CANTIDADES REQUERIDAS POR LA ENTIDAD, DESTINADAS A LOS DIFERENTES DESPACHOS JUDICIALES Y OFICINAS ADMINISTRATIVAS DE LA SECCIONAL SANTANDER"/>
    <d v="2020-12-10T00:00:00"/>
    <d v="2020-12-10T00:00:00"/>
    <n v="95397557"/>
    <n v="0"/>
    <s v="MULTIVERSE"/>
    <n v="900584757"/>
    <s v="CAMARAS"/>
    <n v="284"/>
    <s v="UNIDAD"/>
    <n v="219540"/>
    <n v="41712.6"/>
    <n v="74195738.400000006"/>
    <x v="18"/>
  </r>
  <r>
    <x v="3"/>
    <s v="BGA-039-2020"/>
    <s v="CONTRATAR EN NOMBRE DE LA NACIÓN – CONSEJO SUPERIOR DE JUDICATURA –DIRECCIÓN EJECUTIVA SECCIONAL DE ADMINISTRACIÓN JUDICIAL DE BUCARAMANGA, LA ADQUISICIÓN DE CÁMARAS WEB Y DIADEMAS, EN LAS CONDICIONES TÉCNICAS, DE CALIDAD Y CANTIDADES REQUERIDAS POR LA ENTIDAD, DESTINADAS A LOS DIFERENTES DESPACHOS JUDICIALES Y OFICINAS ADMINISTRATIVAS DE LA SECCIONAL SANTANDER"/>
    <d v="2020-12-10T00:00:00"/>
    <d v="2020-12-10T00:00:00"/>
    <n v="95397557"/>
    <n v="0"/>
    <s v="MULTIVERSE"/>
    <n v="900584757"/>
    <s v="DIADEMAS"/>
    <n v="100"/>
    <s v="UNIDAD"/>
    <n v="178166.54"/>
    <n v="33851.642599999999"/>
    <n v="21201818.260000002"/>
    <x v="19"/>
  </r>
  <r>
    <x v="3"/>
    <s v="O.C. 54638"/>
    <s v="CONTRATAR EN NOMBRE DE LA NACIÓN - CONSEJO SUPERIOR DE LA JUDICATURA - DIRECCIÓN EJECUTIVA SECCIONAL DE ADMINISTRACIÓN JUDICIAL DE BUCARAMANGA LA ADQUISICIÓN E INSTALACIÓN DE ESCÁNERES CON EL FIN DOTAR DE ESTE ELEMENTO TECNOLÓGICO A DESPACHOS JUDICIALES Y ADMINISTRATIVOS DE LA RAMA JUDICIAL SECCIONAL DE ADMINISTRACIÓN JUDICIAL BUCARAMANGA."/>
    <d v="2020-09-03T00:00:00"/>
    <d v="2020-09-03T00:00:00"/>
    <n v="845880991"/>
    <n v="0"/>
    <s v=" GRUPO EMPRESARIAL CREAR DE COLOMBIA S.A.S."/>
    <n v="900564459"/>
    <s v="ESCANER A4 CAMAPLANA MINIMO 10000 PAGINAS MINIMO 70PPMM ZONA 1"/>
    <n v="207"/>
    <s v="UNIDAD"/>
    <n v="1991416"/>
    <n v="378369.04"/>
    <n v="490545503.28000003"/>
    <x v="17"/>
  </r>
  <r>
    <x v="3"/>
    <s v="O.C. 54638"/>
    <s v="CONTRATAR EN NOMBRE DE LA NACIÓN - CONSEJO SUPERIOR DE LA JUDICATURA - DIRECCIÓN EJECUTIVA SECCIONAL DE ADMINISTRACIÓN JUDICIAL DE BUCARAMANGA LA ADQUISICIÓN E INSTALACIÓN DE ESCÁNERES CON EL FIN DOTAR DE ESTE ELEMENTO TECNOLÓGICO A DESPACHOS JUDICIALES Y ADMINISTRATIVOS DE LA RAMA JUDICIAL SECCIONAL DE ADMINISTRACIÓN JUDICIAL BUCARAMANGA."/>
    <d v="2020-09-03T00:00:00"/>
    <d v="2020-09-03T00:00:00"/>
    <n v="845880991"/>
    <n v="0"/>
    <s v=" GRUPO EMPRESARIAL CREAR DE COLOMBIA S.A.S."/>
    <n v="900564459"/>
    <s v="ESCANER A4 CAMAPLANA MINIMO 10000 PAGINAS MINIMO 70PPMM  ZONA 2"/>
    <n v="150"/>
    <s v="UNIDAD"/>
    <n v="1990675"/>
    <n v="378228.25"/>
    <n v="355335487.5"/>
    <x v="17"/>
  </r>
  <r>
    <x v="3"/>
    <s v="O.C. 55340"/>
    <s v="CONTRATAR EN NOMBRE DE LA NACIÓN – CONSEJO SUPERIOR DE JUDICATURA – DIRECCIÓN EJECUTIVA SECCIONAL DE ADMINISTRACIÓN JUDICIAL DE BUCARAMANGA, LA ADQUISICIÓN DE TAPABOCAS DESECHABLES Y GEL ANTIBACTERIAL, EN LAS CONDICIONES TÉCNICAS, DE CALIDAD Y CANTIDADES REQUERIDAS POR LA ENTIDAD."/>
    <d v="2020-09-18T00:00:00"/>
    <d v="2020-09-18T00:00:00"/>
    <n v="68690000"/>
    <n v="0"/>
    <s v="M.A.S EMPRESARIAL SM S.A.S"/>
    <n v="900401801"/>
    <s v="TAPABOCAS TELA NO TEJIDA DOBLE TELA LAVABLE"/>
    <n v="138000"/>
    <s v="UNIDAD"/>
    <n v="497.75362318840581"/>
    <n v="0"/>
    <n v="68690000"/>
    <x v="3"/>
  </r>
  <r>
    <x v="3"/>
    <s v="O.C. 55341"/>
    <s v="CONTRATAR EN NOMBRE DE LA NACIÓN – CONSEJO SUPERIOR DE JUDICATURA – DIRECCIÓN EJECUTIVA SECCIONAL DE ADMINISTRACIÓN JUDICIAL DE BUCARAMANGA, LA ADQUISICIÓN DE  GEL ANTIBACTERIAL, EN LAS CONDICIONES TÉCNICAS, DE CALIDAD Y CANTIDADES REQUERIDAS POR LA ENTIDAD."/>
    <d v="2020-09-18T00:00:00"/>
    <d v="2020-09-18T00:00:00"/>
    <n v="20720013.800000001"/>
    <n v="0"/>
    <s v="BON SANTE SAS"/>
    <n v="901211678"/>
    <s v="GEL ANTIBACTERIAL"/>
    <n v="4140"/>
    <s v="LITRO"/>
    <n v="5004.8342512077297"/>
    <n v="0"/>
    <n v="20720013.800000001"/>
    <x v="4"/>
  </r>
  <r>
    <x v="4"/>
    <s v="OC 45989-2020"/>
    <s v="ADQUISICIÓN DE JABÓN LÍQUIDO Y TOALLAS DE PAPEL PARA MANOS, CON DESTINO A LOS FUNCIONARIOS Y EMPLEADOS DE LAS CORPORACIONES Y DESPACHOS JUDICIALES DEL VALLE DEL CAUCA, EN ATENCIÓN Y APLICACIÓN DE LOS LINEAMIENTOS EMITIDOS POR EL MINISTERIO DE TRABAJO EN LA CIRCULAR NO. 0017 DE FECHA 24 DE FEBRERO DE 2020 – COVID-19”."/>
    <d v="2020-03-10T00:00:00"/>
    <d v="2020-03-10T00:00:00"/>
    <n v="48156480"/>
    <n v="0"/>
    <s v="PANAMERICANA LIBRERÍA Y PAPELERIA S.A."/>
    <n v="830037946"/>
    <s v="TOALLA PARA MANOS ROLLO X 100 MT TRIPLE HOJA PRECORTADA POR (500 HOJAS) "/>
    <n v="1920"/>
    <s v="ROLLO"/>
    <n v="18252.100840336134"/>
    <n v="3467.8991596638652"/>
    <n v="41702400"/>
    <x v="8"/>
  </r>
  <r>
    <x v="4"/>
    <s v="OC 45989-2020"/>
    <s v="ADQUISICIÓN DE JABÓN LÍQUIDO Y TOALLAS DE PAPEL PARA MANOS, CON DESTINO A LOS FUNCIONARIOS Y EMPLEADOS DE LAS CORPORACIONES Y DESPACHOS JUDICIALES DEL VALLE DEL CAUCA, EN ATENCIÓN Y APLICACIÓN DE LOS LINEAMIENTOS EMITIDOS POR EL MINISTERIO DE TRABAJO EN LA CIRCULAR NO. 0017 DE FECHA 24 DE FEBRERO DE 2020 – COVID-19”."/>
    <d v="2020-03-10T00:00:00"/>
    <d v="2020-03-10T00:00:00"/>
    <n v="48156480"/>
    <n v="0"/>
    <s v="PANAMERICANA LIBRERÍA Y PAPELERIA S.A."/>
    <n v="830037946"/>
    <s v="JABON LIQUIDO PARA MANOS  ORION"/>
    <n v="1944"/>
    <s v="LITRO"/>
    <n v="2789.9159663865548"/>
    <n v="530.0840336134454"/>
    <n v="6454080"/>
    <x v="5"/>
  </r>
  <r>
    <x v="4"/>
    <s v="014-2020"/>
    <s v="CONTRATAR EN NOMBRE DE LA NACIÓN - CONSEJO SUPERIOR DE LA JUDICATURA – DIRECCIÓN EJECUTIVA SECCIONAL DE ADMINISTRACIÓN JUDICIAL DE CALI – VALLE DEL CAUCA, LA ADQUISICIÓN DE ELEMENTOS DE PREVENCIÓN CON DESTINO A LOS FUNCIONARIOS Y EMPLEADOS DE LAS CORPORACIONES Y DESPACHOS JUDICIALES DEL VALLE DEL CAUCA, EN ATENCIÓN Y APLICACIÓN DE LOS LINEAMIENTOS EMITIDOS POR EL CONSEJO SUPERIOR DE LA JUDICATURA EN EL ACUERDO PCSJA20-11516 Y CIRCULAR PCSJC20-6 AMBAS DE FECHA 12 DE MARZO DE 2020 Y LOS DEMÁS SOBRE LA MATERIA."/>
    <d v="2020-03-26T00:00:00"/>
    <d v="2020-03-27T00:00:00"/>
    <n v="21397390"/>
    <n v="0"/>
    <s v="CONASEINVES S.A.S."/>
    <n v="901165706"/>
    <s v="GAFA DE SEGURIDAD INDUSTRIAL LENTE TRANS"/>
    <n v="100"/>
    <s v="UNIDAD"/>
    <n v="13500"/>
    <n v="2565"/>
    <n v="1606500"/>
    <x v="2"/>
  </r>
  <r>
    <x v="4"/>
    <s v="014-2020"/>
    <s v="CONTRATAR EN NOMBRE DE LA NACIÓN - CONSEJO SUPERIOR DE LA JUDICATURA – DIRECCIÓN EJECUTIVA SECCIONAL DE ADMINISTRACIÓN JUDICIAL DE CALI – VALLE DEL CAUCA, LA ADQUISICIÓN DE ELEMENTOS DE PREVENCIÓN CON DESTINO A LOS FUNCIONARIOS Y EMPLEADOS DE LAS CORPORACIONES Y DESPACHOS JUDICIALES DEL VALLE DEL CAUCA, EN ATENCIÓN Y APLICACIÓN DE LOS LINEAMIENTOS EMITIDOS POR EL CONSEJO SUPERIOR DE LA JUDICATURA EN EL ACUERDO PCSJA20-11516 Y CIRCULAR PCSJC20-6 AMBAS DE FECHA 12 DE MARZO DE 2020 Y LOS DEMÁS SOBRE LA MATERIA."/>
    <d v="2020-03-26T00:00:00"/>
    <d v="2020-03-27T00:00:00"/>
    <n v="21397390"/>
    <n v="0"/>
    <s v="CONASEINVES S.A.S."/>
    <n v="901165706"/>
    <s v="TAPABOCAS DE 3 PLIEGUES CON CORDÓN ELÁSTICO"/>
    <n v="4954"/>
    <s v="UNIDAD"/>
    <n v="1785"/>
    <n v="0"/>
    <n v="8842890"/>
    <x v="3"/>
  </r>
  <r>
    <x v="4"/>
    <s v="014-2020"/>
    <s v="CONTRATAR EN NOMBRE DE LA NACIÓN - CONSEJO SUPERIOR DE LA JUDICATURA – DIRECCIÓN EJECUTIVA SECCIONAL DE ADMINISTRACIÓN JUDICIAL DE CALI – VALLE DEL CAUCA, LA ADQUISICIÓN DE ELEMENTOS DE PREVENCIÓN CON DESTINO A LOS FUNCIONARIOS Y EMPLEADOS DE LAS CORPORACIONES Y DESPACHOS JUDICIALES DEL VALLE DEL CAUCA, EN ATENCIÓN Y APLICACIÓN DE LOS LINEAMIENTOS EMITIDOS POR EL CONSEJO SUPERIOR DE LA JUDICATURA EN EL ACUERDO PCSJA20-11516 Y CIRCULAR PCSJC20-6 AMBAS DE FECHA 12 DE MARZO DE 2020 Y LOS DEMÁS SOBRE LA MATERIA."/>
    <d v="2020-03-26T00:00:00"/>
    <d v="2020-03-27T00:00:00"/>
    <n v="21397390"/>
    <n v="0"/>
    <s v="CONASEINVES S.A.S."/>
    <n v="901165706"/>
    <s v="GUANTES NITRILO CAJA 100 UNIDADES, 50 PARES"/>
    <n v="2000"/>
    <s v="CAJA X 100"/>
    <n v="2380"/>
    <n v="0"/>
    <n v="4760000"/>
    <x v="10"/>
  </r>
  <r>
    <x v="4"/>
    <s v="014-2020"/>
    <s v="CONTRATAR EN NOMBRE DE LA NACIÓN - CONSEJO SUPERIOR DE LA JUDICATURA – DIRECCIÓN EJECUTIVA SECCIONAL DE ADMINISTRACIÓN JUDICIAL DE CALI – VALLE DEL CAUCA, LA ADQUISICIÓN DE ELEMENTOS DE PREVENCIÓN CON DESTINO A LOS FUNCIONARIOS Y EMPLEADOS DE LAS CORPORACIONES Y DESPACHOS JUDICIALES DEL VALLE DEL CAUCA, EN ATENCIÓN Y APLICACIÓN DE LOS LINEAMIENTOS EMITIDOS POR EL CONSEJO SUPERIOR DE LA JUDICATURA EN EL ACUERDO PCSJA20-11516 Y CIRCULAR PCSJC20-6 AMBAS DE FECHA 12 DE MARZO DE 2020 Y LOS DEMÁS SOBRE LA MATERIA."/>
    <d v="2020-03-26T00:00:00"/>
    <d v="2020-03-27T00:00:00"/>
    <n v="21397390"/>
    <n v="0"/>
    <s v="CONASEINVES S.A.S."/>
    <n v="901165706"/>
    <s v="GEL ANTIBACTERIAL "/>
    <n v="100"/>
    <s v="LITRO"/>
    <n v="17850"/>
    <n v="0"/>
    <n v="1785000"/>
    <x v="4"/>
  </r>
  <r>
    <x v="4"/>
    <s v="014-2020"/>
    <s v="ADQUISICIÓN DE ELEMENTOS DE PREVENCIÓN CON DESTINO A LOS FUNCIONARIOS Y EMPLEADOS DE LAS CORPORACIONES Y DESPACHOS JUDICIALES DEL VALLE DEL CAUCA, EN ATENCIÓN Y APLICACIÓN DE LOS LINEAMIENTOS EMITIDOS POR EL CONSEJO SUPERIOR DE LA JUDICATURA EN EL ACUERDO PCSJA20-11516 Y CIRCULAR PCSJC20-6 AMBAS DE FECHA 12 DE MARZO DE 2020 Y LOS DEMÁS SOBRE LA MATERIA."/>
    <d v="2020-03-26T00:00:00"/>
    <d v="2020-03-27T00:00:00"/>
    <n v="21397390"/>
    <n v="0"/>
    <s v="CONASEINVES S.A.S."/>
    <n v="901165706"/>
    <s v="OVEROL DE CON CAPUCHA DE BIOSEGURIDAD"/>
    <n v="100"/>
    <s v="UNIDAD"/>
    <n v="44030"/>
    <n v="0"/>
    <n v="4403000"/>
    <x v="0"/>
  </r>
  <r>
    <x v="4"/>
    <s v="OC 48145-2020"/>
    <s v="ADQUISICIÓN DE TERMÓMETROS DIGITALES PARA APOYO A LA MITIGACIÓN DEL VIRUS COVID-19 PARA LOS DIFERENTES INMUEBLES DONDE FUNCIONA LA RAMA JUDICIAL DEL VALLE DEL CAUCA"/>
    <d v="2020-05-07T00:00:00"/>
    <d v="2020-05-07T00:00:00"/>
    <n v="11615000"/>
    <n v="0"/>
    <s v="FALABELLA DE COLOMBIA SA"/>
    <n v="900017447"/>
    <s v="TERMÓMETRO DIGITAL INFRARROJO (TIENDA VIRTUAL)"/>
    <n v="20"/>
    <s v="UNIDAD"/>
    <n v="580750"/>
    <n v="0"/>
    <n v="11615000"/>
    <x v="22"/>
  </r>
  <r>
    <x v="4"/>
    <s v="OC 48322-2020"/>
    <s v="ADQUISICIÓN DE ALCOHOL GLICERINADO (GEL ANTIBACTERIAL) PARA LA ANTISEPSIA DE MANOS DE LOS FUNCIONARIOS Y EMPLEADOS DE LAS CORPORACIONES Y DESPACHOS JUDICIALES DEL VALLE DEL CAUCA, TENIENDO EN CUENTA LA EMERGENCIA SANITARIA QUE SE VIENE PRESENTANDO EN EL PAÍS POR CAUSA DEL VIRUS COVID-19."/>
    <d v="2020-05-11T00:00:00"/>
    <d v="2020-05-11T00:00:00"/>
    <n v="32520000"/>
    <n v="0"/>
    <s v="AESTHETICS &amp; MEDICAL SOLUTIONS SAS"/>
    <n v="900567130"/>
    <s v="ALCOHOL ISOPROPILICO EN GEL PARA ANTISEPSIA DE MANOS, 70ML+2G/100ML"/>
    <n v="2168"/>
    <s v="LITRO"/>
    <n v="15000"/>
    <n v="0"/>
    <n v="32520000"/>
    <x v="4"/>
  </r>
  <r>
    <x v="4"/>
    <s v="OC 48655-2020"/>
    <s v="ADQUISICIÓN DE CARETAS DE PROTECCIÓN PARA LOS FUNCIONARIOS Y EMPLEADOS DE LAS CORPORACIONES Y DESPACHOS JUDICIALES DEL VALLE DEL CAUCA, TENIENDO EN CUENTA LA EMERGENCIA SANITARIA QUE SE VIENE PRESENTANDO EN EL PAÍS POR CAUSA DEL VIRUS COVID-19"/>
    <d v="2020-05-18T00:00:00"/>
    <d v="2020-05-18T00:00:00"/>
    <n v="1719600"/>
    <n v="1719600"/>
    <s v="COLOMBIANA DE COMERCIO S.A. Y/O ALKOSTO S.A."/>
    <n v="890900943"/>
    <s v="CARETA DE PROTECCIÓN FACIAL"/>
    <n v="600"/>
    <s v="UNIDAD"/>
    <n v="5732"/>
    <n v="0"/>
    <n v="3439200"/>
    <x v="11"/>
  </r>
  <r>
    <x v="4"/>
    <s v="OC 48656-2020"/>
    <s v="ADQUISICIÓN DE JABÓN LÍQUIDO PARA LAVADO DE MANOS DE LOS FUNCIONARIOS Y EMPLEADOS DE LAS CORPORACIONES Y DESPACHOS JUDICIALES DEL VALLE DEL CAUCA, TENIENDO EN CUENTA LA EMERGENCIA SANITARIA QUE SE VIENE PRESENTANDO EN EL PAÍS POR CAUSA DEL VIRUS COVID-19"/>
    <d v="2020-05-18T00:00:00"/>
    <d v="2020-05-18T00:00:00"/>
    <n v="15800400"/>
    <n v="0"/>
    <s v="AESTHETICS &amp; MEDICAL SOLUTIONS SAS"/>
    <n v="900567130"/>
    <s v="JABÓN PARA MANOS - LÍQUIDO"/>
    <n v="3032.00216"/>
    <s v="LITRO"/>
    <n v="5211.21"/>
    <n v="0"/>
    <n v="15800399.9762136"/>
    <x v="5"/>
  </r>
  <r>
    <x v="4"/>
    <s v="021-2020"/>
    <s v="CONTRATAR EN NOMBRE DE LA NACIÓN - CONSEJO SUPERIOR DE LA JUDICATURA – DIRECCIÓN EJECUTIVA SECCIONAL DE ADMINISTRACIÓN JUDICIAL DE CALI – VALLE DEL CAUCA, LA ADQUISICIÓN DE TAPABOCAS PARA PROTECCIÓN Y USO POR PARTE DE LOS FUNCIONARIOS Y EMPLEADOS DE LAS CORPORACIONES Y DESPACHOS JUDICIALES DEL VALLE DEL CAUCA, TENIENDO EN CUENTA LA EMERGENCIA SANITARIA QUE SE VIENE PRESENTANDO EN EL PAÍS POR CAUSA DEL VIRUS COVID-19. "/>
    <d v="2020-05-19T00:00:00"/>
    <d v="2020-05-21T00:00:00"/>
    <n v="87000000"/>
    <n v="0"/>
    <s v="ASOCIACION DESARROLLANDO FUTURO"/>
    <n v="805026532"/>
    <s v="TAPABOCAS QUIRURGICO"/>
    <n v="58000"/>
    <s v="UNIDAD"/>
    <n v="1500"/>
    <n v="0"/>
    <n v="87000000"/>
    <x v="3"/>
  </r>
  <r>
    <x v="4"/>
    <s v="OC 48921-2020"/>
    <s v="ADQUISICIÓN DE BAYETILLAS PARA LA LIMPIEZA DE LOS PUESTOS DE TRABAJO DE LAS CORPORACIONES Y DESPACHOS JUDICIALES DEL VALLE DEL CAUCA, TENIENDO EN CUENTA LA EMERGENCIA SANITARIA QUE SE VIENE PRESENTANDO EN EL PAÍS POR CAUSA DEL VIRUS COVID-19."/>
    <d v="2020-05-21T00:00:00"/>
    <d v="2020-05-21T00:00:00"/>
    <n v="2520000"/>
    <n v="0"/>
    <s v="PANAMERICANA LIBRERÍA Y PAPELERIA S.A."/>
    <n v="830037946"/>
    <s v="BAYETILLA DE COLOR ROJO, MEDIDAS 36X50 CM"/>
    <n v="1500"/>
    <s v="UNIDAD"/>
    <n v="1411.7647058823529"/>
    <n v="268.23529411764707"/>
    <n v="2520000"/>
    <x v="27"/>
  </r>
  <r>
    <x v="4"/>
    <s v="OC 49021-2020"/>
    <s v="ADQUISICIÓN DE ALCOHOL PARA LA PREVENCIÓN DEL CONTAGIO DEL VIRUS COVID-19 DE LOS FUNCIONARIOS Y EMPLEADOS DE LAS CORPORACIONES Y DESPACHOS JUDICIALES DEL VALLE DEL CAUCA, TENIENDO EN CUENTA LA EMERGENCIA SANITARIA QUE SE VIENE PRESENTANDO EN EL PAÍS"/>
    <d v="2020-05-22T00:00:00"/>
    <d v="2020-05-22T00:00:00"/>
    <n v="27600000"/>
    <n v="0"/>
    <s v="AESTHETICS &amp; MEDICAL SOLUTIONS SAS"/>
    <n v="900567130"/>
    <s v="ALCOHOL ANTISEPTICO DE USO EXTERNO AL 70%, FRASCO PLASTICO"/>
    <n v="3000"/>
    <s v="LITRO"/>
    <n v="9200"/>
    <n v="0"/>
    <n v="27600000"/>
    <x v="26"/>
  </r>
  <r>
    <x v="4"/>
    <s v="OC 49166-2020"/>
    <s v="ADQUISICIÓN DE CÁMARAS WEB PARA LAS CORPORACIONES Y DESPACHOS JUDICIALES DEL VALLE DEL CAUCA, TENIENDO EN CUENTA LA EMERGENCIA SANITARIA QUE SE VIENE PRESENTANDO EN EL PAÍS POR CAUSA DEL VIRUS COVID-19._x0009_"/>
    <d v="2020-05-26T00:00:00"/>
    <d v="2020-05-26T00:00:00"/>
    <n v="124500180"/>
    <n v="60547200"/>
    <s v="MULTIVERSE TECH  SERVICES S.A.S"/>
    <n v="900584757"/>
    <s v="CAMARAS WEB PARA COMPUTADOR DE ESCRITORIO - MARCA DIGITECH PRO - RESOLUCIÓN FULL HD 1080P O HD 720P, CON UN CAMPO VISUAL DE HASTA 90 GRADOS, ZOOM DIGITAL 1.2X O 4X, LENTE DE CRISTAL CON CORRECCIÓN DE ILUMINACIÓN AUTOMÁTICA RIGHTLIGTH2 Y ENFOQUE AUTOMÁTICO, INCLUYE SOPORTE AJUSTABLE QUE PERMITA LA COLOCACIÓN SOBRE TODO TIEMPO DE MONITORES, TAPA DE PRIVACIDAD INTEGRADA Y MICRÓFONO CON SUPRESIÓN DE RUIDO, DEBE GARANTIZAR COMPATIBILIDAD CON APLICACIONES DE VIDEOCONFERENCIA Y OTROS EQUIPOS."/>
    <n v="489"/>
    <s v="UNIDAD"/>
    <n v="318000"/>
    <n v="60420"/>
    <n v="185047380"/>
    <x v="18"/>
  </r>
  <r>
    <x v="4"/>
    <s v="OC 49167-2020"/>
    <s v="ADQUISICIÓN DE TOALLAS DE PAPEL PARA MANOS PARA USO DE LOS FUNCIONARIOS Y EMPLEADOS DE LAS CORPORACIONES Y DESPACHOS JUDICIALES DEL VALLE DEL CAUCA, TENIENDO EN CUENTA LA EMERGENCIA SANITARIA QUE SE VIENE PRESENTANDO EN EL PAÍS POR CAUSA DEL VIRUS COVID-19."/>
    <d v="2020-05-26T00:00:00"/>
    <d v="2020-05-26T00:00:00"/>
    <n v="64557207"/>
    <n v="7566432"/>
    <s v="SUMIMAS S.A.S"/>
    <n v="830001381"/>
    <s v="TOALLAS PARA MANOS - ROLLO POR 500 HOJAS"/>
    <n v="5586"/>
    <s v="ROLLO"/>
    <n v="10850"/>
    <n v="2061.5"/>
    <n v="72123639"/>
    <x v="8"/>
  </r>
  <r>
    <x v="4"/>
    <s v="022-2020"/>
    <s v="CONTRATAR EN NOMBRE DE LA NACIÓN - CONSEJO SUPERIOR DE LA JUDICATURA – DIRECCIÓN EJECUTIVA SECCIONAL DE ADMINISTRACIÓN JUDICIAL DE CALI – VALLE DEL CAUCA, LA ADQUISICIÓN DE LAVAMANOS PORTÁTILES PARA LAS CORPORACIONES Y DESPACHOS JUDICIALES DEL VALLE DEL CAUCA, TENIENDO EN CUENTA LA EMERGENCIA SANITARIA QUE SE VIENE PRESENTANDO EN EL PAÍS POR CAUSA DEL VIRUS COVID-19."/>
    <d v="2020-06-08T00:00:00"/>
    <d v="2020-06-09T00:00:00"/>
    <n v="9282000"/>
    <n v="0"/>
    <s v="FILTRACIÓN INDUSTRIAL Y TRATAMIENTO DE AGUAS LTDA"/>
    <n v="900372268"/>
    <s v="LAVAMANOS PORTATILES EN FIBRA DE VIDRIO"/>
    <n v="13"/>
    <s v="UNIDAD"/>
    <n v="600000"/>
    <n v="114000"/>
    <n v="9282000"/>
    <x v="9"/>
  </r>
  <r>
    <x v="4"/>
    <s v="023-2020"/>
    <s v="CONTRATAR EN NOMBRE DE LA NACIÓN - CONSEJO SUPERIOR DE LA JUDICATURA – DIRECCIÓN EJECUTIVA SECCIONAL DE ADMINISTRACIÓN JUDICIAL DE CALI – VALLE DEL CAUCA, LA ADQUISICIÓN DE GUANTES DE NITRILO Y TAPETES DESINFECTANTES PARA LAS CORPORACIONES Y DESPACHOS JUDICIALES DEL VALLE DEL CAUCA, TENIENDO EN CUENTA LA EMERGENCIA SANITARIA QUE SE VIENE PRESENTANDO EN EL PAÍS POR CAUSA DEL VIRUS COVID-19. "/>
    <d v="2020-06-08T00:00:00"/>
    <d v="2020-06-09T00:00:00"/>
    <n v="87724140"/>
    <n v="87708173"/>
    <s v="REDOX COLOMBIA SAS"/>
    <n v="800078360"/>
    <s v="GUANTES DE NITRILO CAJA DE 100 UNIDADES, 50 PARES"/>
    <n v="2569"/>
    <s v="CAJA X 100"/>
    <n v="63077"/>
    <n v="0"/>
    <n v="162044813"/>
    <x v="10"/>
  </r>
  <r>
    <x v="4"/>
    <s v="023-2020"/>
    <s v="CONTRATAR EN NOMBRE DE LA NACIÓN - CONSEJO SUPERIOR DE LA JUDICATURA – DIRECCIÓN EJECUTIVA SECCIONAL DE ADMINISTRACIÓN JUDICIAL DE CALI – VALLE DEL CAUCA, LA ADQUISICIÓN DE GUANTES DE NITRILO Y TAPETES DESINFECTANTES PARA LAS CORPORACIONES Y DESPACHOS JUDICIALES DEL VALLE DEL CAUCA, TENIENDO EN CUENTA LA EMERGENCIA SANITARIA QUE SE VIENE PRESENTANDO EN EL PAÍS POR CAUSA DEL VIRUS COVID-19. "/>
    <d v="2020-06-08T00:00:00"/>
    <d v="2020-06-09T00:00:00"/>
    <n v="87724140"/>
    <n v="87708173"/>
    <s v="REDOX COLOMBIA SAS"/>
    <n v="800078360"/>
    <s v="TAPETE DESINFECTANTE"/>
    <n v="75"/>
    <s v="UNIDAD"/>
    <n v="150000"/>
    <n v="28500"/>
    <n v="13387500"/>
    <x v="35"/>
  </r>
  <r>
    <x v="4"/>
    <s v="OC 50590-2020"/>
    <s v="ADQUISICIÓN DE CARETAS FACIALES PARA USO DE LOS FUNCIONARIOS Y EMPLEADOS DE LAS CORPORACIONES Y DESPACHOS JUDICIALES DEL VALLE DEL CAUCA, TENIENDO EN CUENTA LA EMERGENCIA SANITARIA QUE SE VIENE PRESENTANDO EN EL PAÍS POR CAUSA DEL VIRUS COVID-19"/>
    <d v="2020-06-17T00:00:00"/>
    <d v="2020-06-17T00:00:00"/>
    <n v="21212130"/>
    <n v="0"/>
    <s v="PLASTICOS FENIX S.A.S"/>
    <n v="890307682"/>
    <s v="CARETAS VISORES (PROTECTOR FACIAL)"/>
    <n v="3000"/>
    <s v="UNIDAD"/>
    <n v="7070.71"/>
    <n v="0"/>
    <n v="21212130"/>
    <x v="11"/>
  </r>
  <r>
    <x v="4"/>
    <s v="025-2020"/>
    <s v="CONTRATAR EN NOMBRE DE LA NACIÓN – CONSEJO SUPERIOR DE LA JUDICATURA – DIRECCIÓN EJECUTIVA SECCIONAL DE ADMINISTRACIÓN JUDICIAL DE CALI – VALLE DEL CAUCA, LA PRESTACIÓN DE SERVICIO DE AUXILIARES DE ENFERMERÍA PARA LAS SEDES JUDICIALES EN EL VALLE DEL CAUCA, TENIENDO EN CUENTA LA EMERGENCIA SANITARIA QUE SE VIENE PRESENTANDO EN EL PAÍS POR CAUSA DEL VIRUS COVID-19 Y LO DISPUESTO EN EL ARTICULO 18 DEL ACUERDO PCSJA20-11567 DEL 05 DE JUNIO DE 2020."/>
    <d v="2020-06-24T00:00:00"/>
    <d v="2020-06-30T00:00:00"/>
    <n v="310500000"/>
    <n v="0"/>
    <s v="CENTRO DE SERVICIOS DE SALUD SANTANGEL SAS"/>
    <n v="900063271"/>
    <s v="SERVICIO DE AUXILIARES DE ENFERMERIA (23 AUXILIARES POR MES PARA 6 MESES)"/>
    <n v="23"/>
    <s v="VALOR MENSUAL POR PERSONA"/>
    <n v="2250000"/>
    <n v="0"/>
    <n v="310500000"/>
    <x v="6"/>
  </r>
  <r>
    <x v="4"/>
    <s v="026-2020"/>
    <s v="CONTRATAR EN NOMBRE DE LA NACIÓN – CONSEJO SUPERIOR DE LA JUDICATURA – DIRECCIÓN EJECUTIVA SECCIONAL DE ADMINISTRACIÓN JUDICIAL DE CALI – VALLE DEL CAUCA, LA ADQUISICION DE DISPENSADORES DE PEDAL PARA ALCOHOL GLICERINADO (GEL ANTIBACTERIAL) Y SUMINISTRO DE TERMÓMETRO INFRARROJO DIGITAL PARA LAS CORPORACIONES Y DESPACHOS JUDICIALES DEL VALLE DEL CAUCA, TENIENDO EN CUENTA LA EMERGENCIA SANITARIA QUE SE VIENE PRESENTANDO EN EL PAÍS POR CAUSA DEL VIRUS COVID-19. "/>
    <d v="2020-07-06T00:00:00"/>
    <d v="2020-07-08T00:00:00"/>
    <n v="13711200"/>
    <n v="0"/>
    <s v="MEGA SUMINISTROS SAS"/>
    <n v="830501019"/>
    <s v="DISPENSADOR METÁLICO DE PEDAL "/>
    <n v="60"/>
    <s v="UNIDAD"/>
    <n v="108000"/>
    <n v="20520"/>
    <n v="7711200"/>
    <x v="12"/>
  </r>
  <r>
    <x v="4"/>
    <s v="026-2020"/>
    <s v="CONTRATAR EN NOMBRE DE LA NACIÓN – CONSEJO SUPERIOR DE LA JUDICATURA – DIRECCIÓN EJECUTIVA SECCIONAL DE ADMINISTRACIÓN JUDICIAL DE CALI – VALLE DEL CAUCA, LA ADQUISICION DE DISPENSADORES DE PEDAL PARA ALCOHOL GLICERINADO (GEL ANTIBACTERIAL) Y SUMINISTRO DE TERMÓMETRO INFRARROJO DIGITAL PARA LAS CORPORACIONES Y DESPACHOS JUDICIALES DEL VALLE DEL CAUCA, TENIENDO EN CUENTA LA EMERGENCIA SANITARIA QUE SE VIENE PRESENTANDO EN EL PAÍS POR CAUSA DEL VIRUS COVID-19. "/>
    <d v="2020-07-06T00:00:00"/>
    <d v="2020-07-08T00:00:00"/>
    <n v="13711200"/>
    <n v="0"/>
    <s v="MEGA SUMINISTROS SAS"/>
    <n v="830501019"/>
    <s v="TERMOMETRO INFRAROJO DIGITAL "/>
    <n v="50"/>
    <s v="UNIDAD"/>
    <n v="120000"/>
    <n v="0"/>
    <n v="6000000"/>
    <x v="22"/>
  </r>
  <r>
    <x v="4"/>
    <s v="027-2020"/>
    <s v="ADQUISICIÓN DE BATAS DE TRABAJO TENIENDO EN CUENTA LA CIRCULAR PCSJC20-15 DE FECHA 16 DE ABRIL DE 2020, EN VIRTUD DEL PROTOCOLO PARA EL MANEJO DE DOCUMENTOS FÍSICOS, MEDIDAS COVID-19."/>
    <d v="2020-07-10T00:00:00"/>
    <d v="2020-07-13T00:00:00"/>
    <n v="24990000"/>
    <n v="0"/>
    <s v="REDOX COLOMBIA SAS"/>
    <n v="800078360"/>
    <s v="BATAS DE TRABAJO ARCHIVO, MANGA LARGA, COLOR BLANCO, DE LARGO 85CM, TALLAS M, L, XL. "/>
    <n v="600"/>
    <s v="UNIDAD"/>
    <n v="35000"/>
    <n v="6650"/>
    <n v="24990000"/>
    <x v="34"/>
  </r>
  <r>
    <x v="4"/>
    <s v="030-2020"/>
    <s v="ADQUISICIÓN DE TAPABOCAS PARA PROTECCIÓN DE LOS FUNCIONARIOS Y EMPLEADOS DE LAS CORPORACIONES Y DESPACHOS JUDICIALES DEL VALLE DEL CAUCA, TENIENDO EN CUENTA LA EMERGENCIA SANITARIA QUE SE VIENE PRESENTANDO EN EL PAÍS POR CAUSA DEL VIRUS COVID-19"/>
    <d v="2020-07-30T00:00:00"/>
    <d v="2020-08-04T00:00:00"/>
    <n v="92268536.230000004"/>
    <n v="0"/>
    <s v="MQ INSTITUCIONAL SAS"/>
    <n v="901171132"/>
    <s v="TAPABOCAS QUIRÚRGICO, TRES (3) CAPAS, TRES (3) PLIEGUES, CON ADAPTADOR NASAL AJUSTABLE, BANDAS ELÁSTICAS PARA AJUSTE EN OREJAS, MEDIDAS APROXIMADAS: 175 MM × 95 MM X ± 2 MM, DEBEN VENIR EN EMPAQUE INDIVIDUAL Y TERMO-SELLADOS."/>
    <n v="217517"/>
    <s v="UNIDAD"/>
    <n v="424.19"/>
    <n v="0"/>
    <n v="92268536.230000004"/>
    <x v="3"/>
  </r>
  <r>
    <x v="4"/>
    <s v="030-2020"/>
    <s v="ADQUISICIÓN DE TAPABOCAS PARA PROTECCIÓN DE LOS FUNCIONARIOS Y EMPLEADOS DE LAS CORPORACIONES Y DESPACHOS JUDICIALES DEL VALLE DEL CAUCA, TENIENDO EN CUENTA LA EMERGENCIA SANITARIA QUE SE VIENE PRESENTANDO EN EL PAÍS POR CAUSA DEL VIRUS COVID-19"/>
    <d v="2020-07-30T00:00:00"/>
    <d v="2020-08-04T00:00:00"/>
    <n v="0"/>
    <n v="46134056.020000003"/>
    <s v="MQ INSTITUCIONAL SAS"/>
    <n v="901171132"/>
    <s v="TAPABOCAS QUIRÚRGICO, TRES (3) CAPAS, TRES (3) PLIEGUES, CON ADAPTADOR NASAL AJUSTABLE, BANDAS ELÁSTICAS PARA AJUSTE EN OREJAS, MEDIDAS APROXIMADAS: 175 MM × 95 MM X ± 2 MM, DEBEN VENIR EN EMPAQUE INDIVIDUAL Y TERMO-SELLADOS. CAJA DE 50 UNIDADES"/>
    <n v="108758"/>
    <s v="UNIDAD"/>
    <n v="424.19"/>
    <n v="0"/>
    <n v="46134056.020000003"/>
    <x v="3"/>
  </r>
  <r>
    <x v="4"/>
    <s v="102-2020"/>
    <s v="CONTRATAR EN NOMBRE DE LA NACIÓN – CONSEJO SUPERIOR DE LA JUDICATURA – DIRECCIÓN EJECUTIVA SECCIONAL DE ADMINISTRACIÓN JUDICIAL DE CALI – VALLE DEL CAUCA, LA ADQUISICIÓN DE ELEMENTOS PARA LA PREVENCIÓN DEL CONTAGIO DEL VIRUS COVID-19, PARA LOS FUNCIONARIOS Y EMPLEADOS DE LAS CORPORACIONES Y DESPACHOS JUDICIALES DEL VALLE DEL CAUCA"/>
    <d v="2020-12-10T00:00:00"/>
    <d v="2020-12-21T00:00:00"/>
    <n v="44652978"/>
    <n v="0"/>
    <s v="MEGA SUMINISTROS SAS"/>
    <n v="830501019"/>
    <s v="ALCOHOL ANTISEPTICO DE USO EXTERNO AL 70%, FRASCO PLASTICO"/>
    <n v="2625"/>
    <s v="LITRO"/>
    <n v="5453.3333339999999"/>
    <n v="0"/>
    <n v="14315000.00175"/>
    <x v="26"/>
  </r>
  <r>
    <x v="4"/>
    <s v="102-2020"/>
    <s v="CONTRATAR EN NOMBRE DE LA NACIÓN – CONSEJO SUPERIOR DE LA JUDICATURA – DIRECCIÓN EJECUTIVA SECCIONAL DE ADMINISTRACIÓN JUDICIAL DE CALI – VALLE DEL CAUCA, LA ADQUISICIÓN DE ELEMENTOS PARA LA PREVENCIÓN DEL CONTAGIO DEL VIRUS COVID-19, PARA LOS FUNCIONARIOS Y EMPLEADOS DE LAS CORPORACIONES Y DESPACHOS JUDICIALES DEL VALLE DEL CAUCA"/>
    <d v="2020-12-10T00:00:00"/>
    <d v="2020-12-21T00:00:00"/>
    <n v="44652978"/>
    <n v="0"/>
    <s v="MEGA SUMINISTROS SAS"/>
    <n v="830501019"/>
    <s v="JABÓN PARA MANOS - LÍQUIDO"/>
    <n v="9500"/>
    <s v="LITRO"/>
    <n v="2042.1052631499999"/>
    <n v="0"/>
    <n v="19399999.999924999"/>
    <x v="5"/>
  </r>
  <r>
    <x v="4"/>
    <s v="102-2020"/>
    <s v="CONTRATAR EN NOMBRE DE LA NACIÓN – CONSEJO SUPERIOR DE LA JUDICATURA – DIRECCIÓN EJECUTIVA SECCIONAL DE ADMINISTRACIÓN JUDICIAL DE CALI – VALLE DEL CAUCA, LA ADQUISICIÓN DE ELEMENTOS PARA LA PREVENCIÓN DEL CONTAGIO DEL VIRUS COVID-19, PARA LOS FUNCIONARIOS Y EMPLEADOS DE LAS CORPORACIONES Y DESPACHOS JUDICIALES DEL VALLE DEL CAUCA"/>
    <d v="2020-12-10T00:00:00"/>
    <d v="2020-12-21T00:00:00"/>
    <n v="0"/>
    <n v="1517022"/>
    <s v="MEGA SUMINISTROS SAS"/>
    <n v="830501019"/>
    <s v="GEL ANTIBACTERIAL"/>
    <n v="351"/>
    <s v="LITRO"/>
    <n v="4322"/>
    <n v="0"/>
    <n v="1517022"/>
    <x v="4"/>
  </r>
  <r>
    <x v="4"/>
    <s v="102-2020"/>
    <s v="CONTRATAR EN NOMBRE DE LA NACIÓN – CONSEJO SUPERIOR DE LA JUDICATURA – DIRECCIÓN EJECUTIVA SECCIONAL DE ADMINISTRACIÓN JUDICIAL DE CALI – VALLE DEL CAUCA, LA ADQUISICIÓN DE ELEMENTOS PARA LA PREVENCIÓN DEL CONTAGIO DEL VIRUS COVID-19, PARA LOS FUNCIONARIOS Y EMPLEADOS DE LAS CORPORACIONES Y DESPACHOS JUDICIALES DEL VALLE DEL CAUCA"/>
    <d v="2020-12-10T00:00:00"/>
    <d v="2020-12-21T00:00:00"/>
    <n v="44652978"/>
    <n v="0"/>
    <s v="MEGA SUMINISTROS SAS"/>
    <n v="830501019"/>
    <s v="TERMOMETRO INFRAROJO DIGITAL "/>
    <n v="30"/>
    <s v="UNIDAD"/>
    <n v="55000"/>
    <n v="0"/>
    <n v="1650000"/>
    <x v="22"/>
  </r>
  <r>
    <x v="4"/>
    <s v="025-2020"/>
    <s v="CONTRATAR EN NOMBRE DE LA NACIÓN – CONSEJO SUPERIOR DE LA JUDICATURA – DIRECCIÓN EJECUTIVA SECCIONAL DE ADMINISTRACIÓN JUDICIAL DE CALI – VALLE DEL CAUCA, LA PRESTACIÓN DE SERVICIO DE AUXILIARES DE ENFERMERÍA PARA LAS SEDES JUDICIALES EN EL VALLE DEL CAUCA, TENIENDO EN CUENTA LA EMERGENCIA SANITARIA QUE SE VIENE PRESENTANDO EN EL PAÍS POR CAUSA DEL VIRUS COVID-19 Y LO DISPUESTO EN EL ARTICULO 18 DEL ACUERDO PCSJA20-11567 DEL 05 DE JUNIO DE 2020."/>
    <d v="2020-06-24T00:00:00"/>
    <d v="2021-01-01T00:00:00"/>
    <n v="0"/>
    <n v="151125000"/>
    <s v="CENTRO DE SERVICIOS DE SALUD SANTANGEL SAS"/>
    <n v="900063271"/>
    <s v="SERVICIO DE AUXILIARES DE ENFERMERIA (23 AUXILIARES POR MES PARA 6 MESES)"/>
    <n v="23"/>
    <s v="VALOR MENSUAL POR PERSONA"/>
    <n v="2190217.39"/>
    <n v="0"/>
    <n v="151124999.91000003"/>
    <x v="6"/>
  </r>
  <r>
    <x v="5"/>
    <s v="CT04-24-2020"/>
    <s v="ADQUISICIÓN DE DOTACIÓN DE BIOSEGURIDAD CONSISTENTE EN TRAJES DE PROTECCIÓN CORPORAL PARA SERVIDORES JUDICIALES ESPECIALMENTE DE LOS JUZGADOS DE GARANTÍAS, EN LAS CONDICIONES TÉCNICAS, DE CALIDAD Y CANTIDADES REQUERIDAS POR LA ENTIDAD"/>
    <d v="2020-03-19T00:00:00"/>
    <d v="2020-03-19T00:00:00"/>
    <n v="14411127"/>
    <n v="0"/>
    <s v="TECHNICAL SOLUTIONS SAFETY SAS"/>
    <n v="901095058"/>
    <s v="TRAJES DE PROTECCIÓN CORPORAL CARTAGENA"/>
    <n v="815"/>
    <s v="UNIDAD"/>
    <n v="14859.129916997474"/>
    <n v="2823.2346842295201"/>
    <n v="14411127.149999999"/>
    <x v="0"/>
  </r>
  <r>
    <x v="5"/>
    <s v="CT04-25-2020"/>
    <s v="ADQUISICIÓN DE GEL ANTIBACTERIAL PARA LOS SERVIDORES JUDICIALES Y EMPLEADOS JUDICIALES DE LAS OFICINAS ADMINISTRATIVAS Y DESPACHOS JUDICIALES A CARGO DE LA DIRECCIÓN SECCIONAL DE ADMINISTRACIÓN JUDICIAL DE CARTAGENA."/>
    <d v="2020-03-25T00:00:00"/>
    <d v="2020-03-25T00:00:00"/>
    <n v="8399531"/>
    <n v="0"/>
    <s v="SEBASTIAN VALENCIA ARANGO"/>
    <n v="1047451945"/>
    <s v="GEL ANTIBACTERIAL "/>
    <n v="333.5"/>
    <s v="LITRO"/>
    <n v="25186"/>
    <n v="0"/>
    <n v="8399531"/>
    <x v="4"/>
  </r>
  <r>
    <x v="5"/>
    <s v="CT04-34-2020"/>
    <s v="COMPRA DE TAPABOCAS DESECHABLE Y DE TELA PARA LA PROTECCIÓN PERSONAL DE LOS SERVIDORES JUDICIALES Y EMPLEADOS JUDICIALES DE LAS OFICINAS ADMINISTRATIVAS Y DESPACHOS JUDICIALES_x000a_A CARGO DE LA DIRECCIÓN SECCIONAL DE ADMINISTRACIÓN JUDICIAL DE CARTAGENA."/>
    <d v="2020-05-13T00:00:00"/>
    <d v="2020-05-14T00:00:00"/>
    <n v="34734750"/>
    <n v="0"/>
    <s v="INGENYO S.A.S"/>
    <n v="1062185"/>
    <s v="TAPABOCAS DESECHABLES GMTG15"/>
    <n v="10000"/>
    <s v="UNIDAD"/>
    <n v="1250"/>
    <n v="0"/>
    <n v="12500000"/>
    <x v="3"/>
  </r>
  <r>
    <x v="5"/>
    <s v="CT04-34-2020"/>
    <s v="COMPRA DE TAPABOCAS DESECHABLE Y DE TELA PARA LA PROTECCIÓN PERSONAL DE LOS SERVIDORES JUDICIALES Y EMPLEADOS JUDICIALES DE LAS OFICINAS ADMINISTRATIVAS Y DESPACHOS JUDICIALES_x000a_A CARGO DE LA DIRECCIÓN SECCIONAL DE ADMINISTRACIÓN JUDICIAL DE CARTAGENA."/>
    <d v="2020-05-13T00:00:00"/>
    <d v="2020-05-14T00:00:00"/>
    <n v="34734750"/>
    <n v="0"/>
    <s v="INGENYO S.A.S"/>
    <n v="1062185"/>
    <s v="TAPABOCAS REUTIIZABLES GMTG15"/>
    <n v="7550"/>
    <s v="UNIDAD"/>
    <n v="2945"/>
    <n v="0"/>
    <n v="22234750"/>
    <x v="3"/>
  </r>
  <r>
    <x v="5"/>
    <s v="CT04-36-2020"/>
    <s v="COMPRA DE TERMÓMETROS INFRARROJOS, ALCOHOL Y TOALLAS DE PAPEL, PARA LA PROTECCIÓN PERSONAL Y PREVENCIÓN DE CONTAGIO DE COVID-19 DE LOS SERVIDORES JUDICIALES Y EMPLEADOS JUDICIALES DE LAS OFICINAS ADMINISTRATIVAS Y DESPACHOS JUDICIALES A CARGO DE LA DIRECCIÓN SECCIONAL DE ADMINISTRACIÓN JUDICIAL DE CARTAGENA."/>
    <d v="2020-05-15T00:00:00"/>
    <d v="2020-05-18T00:00:00"/>
    <n v="27782000"/>
    <n v="0"/>
    <s v="VIALCONSULTORES S.A"/>
    <n v="900881350"/>
    <s v="TERMÓMETRO INFRARROJO"/>
    <n v="11"/>
    <s v="UNIDAD"/>
    <n v="430000"/>
    <n v="0"/>
    <n v="4730000"/>
    <x v="22"/>
  </r>
  <r>
    <x v="5"/>
    <s v="CT04-36-2020"/>
    <s v="COMPRA DE TERMÓMETROS INFRARROJOS, ALCOHOL Y TOALLAS DE PAPEL, PARA LA PROTECCIÓN PERSONAL Y PREVENCIÓN DE CONTAGIO DE COVID-19 DE LOS SERVIDORES JUDICIALES Y EMPLEADOS JUDICIALES DE LAS OFICINAS ADMINISTRATIVAS Y DESPACHOS JUDICIALES A CARGO DE LA DIRECCIÓN SECCIONAL DE ADMINISTRACIÓN JUDICIAL DE CARTAGENA."/>
    <d v="2020-05-15T00:00:00"/>
    <d v="2020-05-18T00:00:00"/>
    <n v="27782000"/>
    <n v="0"/>
    <s v="VIALCONSULTORES S.A"/>
    <n v="900881350"/>
    <s v="TOALLA PARA MANOS EN ROLLO 15 CM ANCHO Y 100 M LARGO"/>
    <n v="760"/>
    <s v="ROLLO"/>
    <n v="21450"/>
    <n v="0"/>
    <n v="16302000"/>
    <x v="8"/>
  </r>
  <r>
    <x v="5"/>
    <s v="CT04-36-2020"/>
    <s v="COMPRA DE TERMÓMETROS INFRARROJOS, ALCOHOL Y TOALLAS DE PAPEL, PARA LA PROTECCIÓN PERSONAL Y PREVENCIÓN DE CONTAGIO DE COVID-19 DE LOS SERVIDORES JUDICIALES Y EMPLEADOS JUDICIALES DE LAS OFICINAS ADMINISTRATIVAS Y DESPACHOS JUDICIALES A CARGO DE LA DIRECCIÓN SECCIONAL DE ADMINISTRACIÓN JUDICIAL DE CARTAGENA."/>
    <d v="2020-05-15T00:00:00"/>
    <d v="2020-05-18T00:00:00"/>
    <n v="27782000"/>
    <n v="0"/>
    <s v="VIALCONSULTORES S.A"/>
    <n v="900881350"/>
    <s v="FRASCO ALCOHOL ANTISÉPTICO AL 70%"/>
    <n v="1215.1199999999999"/>
    <s v="LITRO"/>
    <n v="5555"/>
    <n v="0"/>
    <n v="6749991.5999999996"/>
    <x v="26"/>
  </r>
  <r>
    <x v="5"/>
    <s v="CT04-38-2020"/>
    <s v="COMPRA DE GUANTES DE NITRILO, PARA LA PROTECCIÓN PERSONAL Y PREVENCIÓN DE CONTAGIO DE COVID-19 DE LOS SERVIDORES JUDICIALES Y EMPLEADOS JUDICIALES DE LAS OFICINAS ADMINISTRATIVAS Y DESPACHOS JUDICIALES A CARGO DE LA DIRECCIÓN SECCIONAL DE ADMINISTRACIÓN JUDICIAL DE CARTAGENA."/>
    <d v="2020-05-20T00:00:00"/>
    <d v="2020-05-21T00:00:00"/>
    <n v="14952000"/>
    <n v="0"/>
    <s v="VIALCONSULTORES S.A"/>
    <n v="900881350"/>
    <s v="CAJA X 100 UNIDADES DE GUANTES DE NITRILO DESECHABLES"/>
    <n v="336"/>
    <s v="CAJA X 100"/>
    <n v="44500"/>
    <n v="0"/>
    <n v="14952000"/>
    <x v="10"/>
  </r>
  <r>
    <x v="5"/>
    <s v="O.C. 47627"/>
    <s v="CONTRATAR EN NOMBRE DE LA NACIÓN – CONSEJO SUPERIOR DE LA JUDICATURA EL SERVICIO DE SUMINISTRO DE GEL ANTIBACTERIAL Y GUANTES QUIRÚRGICOS PARA LOS DIFERENTES DESPACHOS JUDICIALES Y OFICINAS ADMINISTRATIVAS A CARGO DE LA DIRECCIÓN SECCIONAL DE ADMINISTRACIÓN JUDICIAL DE CARTAGENA, ESTE PROCEDIMIENTO SERÁ REALIZADO MEDIANTE LA PLATAFORMA DE TIENDA VIRTUAL DEL ESTADO COLOMBIANO DE COLOMBIA"/>
    <s v="2020/04/27"/>
    <s v="2020/04/27"/>
    <n v="1560000"/>
    <n v="0"/>
    <s v="JM GRUPO EMPRESARIAL S.A.S"/>
    <n v="900353659"/>
    <s v="CAJA X 100 UNIDADES DE GUANTES QUIRÚRGICOS."/>
    <n v="63"/>
    <s v="CAJA X 100"/>
    <n v="20000"/>
    <n v="0"/>
    <n v="1260000"/>
    <x v="24"/>
  </r>
  <r>
    <x v="5"/>
    <s v="O.C. 47628"/>
    <s v="CONTRATAR EN NOMBRE DE LA NACIÓN – CONSEJO SUPERIOR DE LA JUDICATURA EL SERVICIO DE SUMINISTRO DE GEL ANTIBACTERIAL Y GUANTES QUIRÚRGICOS PARA LOS DIFERENTES DESPACHOS JUDICIALES Y OFICINAS ADMINISTRATIVAS A CARGO DE LA DIRECCIÓN SECCIONAL DE ADMINISTRACIÓN JUDICIAL DE CARTAGENA, ESTE PROCEDIMIENTO SERÁ REALIZADO MEDIANTE LA PLATAFORMA DE TIENDA VIRTUAL DEL ESTADO COLOMBIANO DE COLOMBIA"/>
    <s v="2020/04/27"/>
    <s v="2020/04/27"/>
    <n v="17400156"/>
    <n v="0"/>
    <s v="PMI PROYECTOS MONTAJES E INGENIERIA"/>
    <n v="900704052"/>
    <s v="GEL ANTIBACTERIAL 1 LITRO"/>
    <n v="1434"/>
    <s v="LITRO"/>
    <n v="11634"/>
    <n v="0"/>
    <n v="16683156"/>
    <x v="4"/>
  </r>
  <r>
    <x v="5"/>
    <s v="O.C. 48032"/>
    <s v="ADQUISICIÓN DE DOTACIÓN DE TAPABOCAS DESECHABLES Y DE TELA PARA SERVIDORES JUDICIALES Y EMPLEADOS JUDICIALES DE LAS OFICINAS ADMINISTRATIVAS Y DESPACHOS JUDICIALES A CARGO DE LA DIRECCIÓN SECCIONAL DE ADMINISTRACIÓN JUDICIAL DE CARTAGENA."/>
    <d v="2020-05-05T00:00:00"/>
    <d v="2020-05-05T00:00:00"/>
    <n v="52694400"/>
    <n v="0"/>
    <s v="TECNOINNSOFT SAS"/>
    <n v="900935453"/>
    <s v="TAPABOCAS DESECHABLES"/>
    <n v="10000"/>
    <s v="UNIDAD"/>
    <n v="1300"/>
    <n v="0"/>
    <n v="13000000"/>
    <x v="3"/>
  </r>
  <r>
    <x v="5"/>
    <s v="O.C. 48032"/>
    <s v="ADQUISICIÓN DE DOTACIÓN DE TAPABOCAS DESECHABLES Y DE TELA PARA SERVIDORES JUDICIALES Y EMPLEADOS JUDICIALES DE LAS OFICINAS ADMINISTRATIVAS Y DESPACHOS JUDICIALES A CARGO DE LA DIRECCIÓN SECCIONAL DE ADMINISTRACIÓN JUDICIAL DE CARTAGENA."/>
    <d v="2020-05-05T00:00:00"/>
    <d v="2020-05-05T00:00:00"/>
    <n v="52694400"/>
    <n v="0"/>
    <s v="TECNOINNSOFT SAS"/>
    <n v="900935453"/>
    <s v="TAPABOCAS DOBLE TELA"/>
    <n v="13000"/>
    <s v="UNIDAD"/>
    <n v="2950"/>
    <n v="0"/>
    <n v="38350000"/>
    <x v="3"/>
  </r>
  <r>
    <x v="5"/>
    <s v="O.C. 48033"/>
    <s v="ADQUISICIÓN DE DOTACIÓN DE GUANTES DE NITRILO PARA SERVIDORES JUDICIALES Y EMPLEADOS JUDICIALES DE LAS OFICINAS ADMINISTRATIVAS Y DESPACHOS JUDICIALES A CARGO DE LA DIRECCIÓN SECCIONAL DE ADMINISTRACIÓN JUDICIAL DE CARTAGENA."/>
    <d v="2020-05-05T00:00:00"/>
    <d v="2020-05-05T00:00:00"/>
    <n v="9600000"/>
    <n v="0"/>
    <s v="JM GRUPO EMPRESARIAL S.A.S"/>
    <n v="900353659"/>
    <s v="GUANTES DE NITRILO CAJA X 100"/>
    <n v="200"/>
    <s v="CAJA X 100"/>
    <n v="45000"/>
    <n v="0"/>
    <n v="9000000"/>
    <x v="10"/>
  </r>
  <r>
    <x v="5"/>
    <s v="O.C. 48052"/>
    <s v="SERVICIO DE SUMINISTRO DE ELEMENTOS DE PROTECCIÓN PERSONAL Y ASEO, JABON LIQUIDO PARA MANOS, PARA LOS DIFERENTES DESPACHOS JUDICIALES Y OFICINAS ADMINISTRATIVAS A CARGO DE LA DIRECCIÓN SECCIONAL DE ADMINISTRACIÓN JUDICIAL DE CARTAGENA"/>
    <d v="2020-05-05T00:00:00"/>
    <d v="2020-05-05T00:00:00"/>
    <n v="3532000"/>
    <n v="0"/>
    <s v="PAPER BOX SP SAS"/>
    <n v="900791672"/>
    <s v="JABÓN LÍQ_MANOS PLÁST. "/>
    <n v="484.5"/>
    <s v="LITRO"/>
    <n v="5680"/>
    <n v="0"/>
    <n v="2751960"/>
    <x v="5"/>
  </r>
  <r>
    <x v="5"/>
    <s v="O.C. 48718"/>
    <s v="SERVICIO DE SUMINISTRO DE PANOLAS O BAYETILLAS Y BOLSAS PLÁSTICAS DE BIOSEGURIDAD PARA LOS DIFERENTES DESPACHOS JUDICIALES Y OFICINAS ADMINISTRATIVAS A CARGO DE LA DIRECCIÓN SECCIONAL DE ADMINISTRACIÓN JUDICIAL DE CARTAGENA"/>
    <d v="2020-05-18T00:00:00"/>
    <d v="2020-05-18T00:00:00"/>
    <n v="2192694"/>
    <n v="0"/>
    <s v="PANAMERICANA PAPELERIA Y LIBRERÍA"/>
    <n v="830037946"/>
    <s v="BAYETILLA BLANCA 35X50 CMS"/>
    <n v="268"/>
    <s v="UNIDAD"/>
    <n v="1500"/>
    <n v="285"/>
    <n v="478380"/>
    <x v="27"/>
  </r>
  <r>
    <x v="5"/>
    <s v="O.C. 48718"/>
    <s v="SERVICIO DE SUMINISTRO DE PANOLAS O BAYETILLAS Y BOLSAS PLÁSTICAS DE BIOSEGURIDAD PARA LOS DIFERENTES DESPACHOS JUDICIALES Y OFICINAS ADMINISTRATIVAS A CARGO DE LA DIRECCIÓN SECCIONAL DE ADMINISTRACIÓN JUDICIAL DE CARTAGENA"/>
    <d v="2020-05-18T00:00:00"/>
    <d v="2020-05-18T00:00:00"/>
    <n v="2192694"/>
    <n v="0"/>
    <s v="PANAMERICANA PAPELERIA Y LIBRERÍA"/>
    <n v="830037946"/>
    <s v="BOLSA PLÁSTICA ROJA 50X60 CMS"/>
    <n v="37"/>
    <s v="PAQUETE X 100"/>
    <n v="16800"/>
    <n v="3192"/>
    <n v="739704"/>
    <x v="37"/>
  </r>
  <r>
    <x v="5"/>
    <s v="O.C. 48718"/>
    <s v="SERVICIO DE SUMINISTRO DE PANOLAS O BAYETILLAS Y BOLSAS PLÁSTICAS DE BIOSEGURIDAD PARA LOS DIFERENTES DESPACHOS JUDICIALES Y OFICINAS ADMINISTRATIVAS A CARGO DE LA DIRECCIÓN SECCIONAL DE ADMINISTRACIÓN JUDICIAL DE CARTAGENA"/>
    <d v="2020-05-18T00:00:00"/>
    <d v="2020-05-18T00:00:00"/>
    <n v="2192694"/>
    <n v="0"/>
    <s v="PANAMERICANA PAPELERIA Y LIBRERÍA"/>
    <n v="830037946"/>
    <s v="BOLSA PLÁSTICA ROJA 50X50 CMS"/>
    <n v="63"/>
    <s v="PAQUETE X 100"/>
    <n v="13000"/>
    <n v="2470"/>
    <n v="974610"/>
    <x v="37"/>
  </r>
  <r>
    <x v="5"/>
    <s v="O.C. 49620"/>
    <s v="SUMINISTRO CARETAS ANTIFLUIDOS PARA LOS EMPLEADOS DE LOS DIFERENTES DESPACHOS JUDICIALES Y OFICINAS ADMINISTRATIVAS A CARGO DE LA DIRECCIÓN SECCIONAL DE ADMINISTRACIÓN JUDICIAL DE CARTAGENA, ESTE PROCEDIMIENTO SERÁ REALIZADO MEDIANTE GRANDES SUPERFICIES DE LA PLATAFORMA DE TIENDA VIRTUAL DEL ESTADO COLOMBIANO DE COLOMBIA COMPRA EFICIENTE."/>
    <d v="2020-06-01T00:00:00"/>
    <d v="2020-06-01T00:00:00"/>
    <n v="2672925"/>
    <n v="0"/>
    <s v="COLOMBIANA DE COMERCIO S.A_x000a_Y/O ALKOSTO S.A"/>
    <n v="890900943"/>
    <s v="CARETA ANTIFLUIDOS"/>
    <n v="471"/>
    <s v="UNIDAD"/>
    <n v="5675"/>
    <n v="0"/>
    <n v="2672925"/>
    <x v="11"/>
  </r>
  <r>
    <x v="5"/>
    <s v="O.C. 49715"/>
    <s v="SUMINISTRO DE DISPENSADORES DE GEL O_x000a_JABÓN PARA LOS DIFERENTES DESPACHOS JUDICIALES Y_x000a_OFICINAS ADMINISTRATIVAS A CARGO DE LA DIRECCIÓN_x000a_SECCIONAL DE ADMINISTRACIÓN JUDICIAL DE_x000a_CARTAGENA,"/>
    <d v="2020-06-02T00:00:00"/>
    <d v="2020-06-02T00:00:00"/>
    <n v="2600000"/>
    <n v="0"/>
    <s v="CENCOSUD COLOMBIA S.A."/>
    <n v="900155107"/>
    <s v="DISPENSADOR DE GEL PLANO EN TUBERIA DE 1 PULGADA"/>
    <n v="20"/>
    <s v="UNIDAD"/>
    <n v="109244"/>
    <n v="20756.36"/>
    <n v="2600007.2000000002"/>
    <x v="12"/>
  </r>
  <r>
    <x v="5"/>
    <s v="O.C. 49843"/>
    <s v="SUMINISTRO DE TAPABOCAS DE TELA PARA_x000a_LOS DIFERENTES DESPACHOS JUDICIALES Y OFICINAS_x000a_ADMINISTRATIVAS A CARGO DE LA DIRECCIÓN SECCIONAL_x000a_DE ADMINISTRACIÓN JUDICIAL DE CARTAGENA,"/>
    <d v="2020-06-04T00:00:00"/>
    <d v="2020-06-04T00:00:00"/>
    <n v="11123450"/>
    <n v="0"/>
    <s v="COMERCIALIZADORA ARTURO_x000a_CALLE"/>
    <n v="900342297"/>
    <s v="TAPABOCA TELA POLYESTER ANTIFLUIDO"/>
    <n v="7000"/>
    <s v="UNIDAD"/>
    <n v="1580"/>
    <n v="0"/>
    <n v="11060000"/>
    <x v="3"/>
  </r>
  <r>
    <x v="5"/>
    <s v="O.C. 50863"/>
    <s v="SUMINISTRO DE CARETAS ANTIFLUIDOS PARA LOS EMPLEADOS DE LOS DIFERENTES DESPACHOS JUDICIALES Y OFICINAS ADMINISTRATIVAS A CARGO DE LA DIRECCIÓN SECCIONAL DE ADMINISTRACIÓN JUDICIAL DE CARTAGENA, "/>
    <d v="2020-06-23T00:00:00"/>
    <d v="2020-06-23T00:00:00"/>
    <n v="3778000"/>
    <n v="0"/>
    <s v="PLASTICOS FENIX SAS"/>
    <n v="890307682"/>
    <s v="CARETA VISOR (PROTECTOR FACIAL)"/>
    <n v="529"/>
    <s v="UNIDAD"/>
    <n v="7000"/>
    <n v="0"/>
    <n v="3703000"/>
    <x v="11"/>
  </r>
  <r>
    <x v="5"/>
    <s v="O.C. 51093"/>
    <s v="SUMINISTRO DE GEL ANTIBACTERIAL, PARA LOS_x000a_EMPLEADOS DE LOS DIFERENTES DESPACHOS JUDICIALES_x000a_Y OFICINAS ADMINISTRATIVAS A CARGO DE LA DIRECCIÓN_x000a_SECCIONAL DE ADMINISTRACIÓN JUDICIAL DE_x000a_CARTAGENA,"/>
    <d v="2020-06-26T00:00:00"/>
    <d v="2020-06-26T00:00:00"/>
    <n v="2457000"/>
    <n v="0"/>
    <s v="COSMETICOS SAMY S.A."/>
    <n v="811008383"/>
    <s v="GEL ANTIBACTERIAL"/>
    <n v="379.98"/>
    <s v="LITRO"/>
    <n v="6466"/>
    <n v="0"/>
    <n v="2456950.6800000002"/>
    <x v="4"/>
  </r>
  <r>
    <x v="5"/>
    <s v="O.C. 51157"/>
    <s v="SUMINISTRO DE CANECAS DE BIOSEGURIDAD PARA LOS EDIFICIOS A CARGO DE LA DIRECCIÓN SECCIONAL DE ADMINISTRACIÓN JUDICIAL DE CARTAGENA,"/>
    <d v="2020-06-26T00:00:00"/>
    <d v="2020-06-26T00:00:00"/>
    <n v="1264500"/>
    <n v="0"/>
    <s v="PANAMERICANA LIBRERÍA Y_x000a_PAPELERÍA S.A."/>
    <n v="830037946"/>
    <s v="PAPELERA PEDAL REDONDA 12 LT"/>
    <n v="45"/>
    <s v="UNIDAD"/>
    <n v="28100"/>
    <n v="0"/>
    <n v="1264500"/>
    <x v="15"/>
  </r>
  <r>
    <x v="5"/>
    <s v="O.C. 51349"/>
    <s v="SUMINISTRO DE CANECAS DE DESECHOS PARA LOS EDIFICIOS A CARGO DE LA DIRECCIÓN SECCIONAL DE ADMINISTRACIÓN JUDICIAL DE CARTAGENA,"/>
    <d v="2020-07-01T00:00:00"/>
    <d v="2020-07-01T00:00:00"/>
    <n v="14984700"/>
    <n v="0"/>
    <s v="PANAMERICANA LIBRERÍA Y PAPELERÍA S.A."/>
    <n v="830037946"/>
    <s v="CANECA TAPA VAIVEN"/>
    <n v="172"/>
    <s v="UNIDAD"/>
    <n v="57400"/>
    <n v="0"/>
    <n v="9872800"/>
    <x v="15"/>
  </r>
  <r>
    <x v="5"/>
    <s v="O.C. 51349"/>
    <s v="SUMINISTRO DE CANECAS DE DESECHOS PARA LOS EDIFICIOS A CARGO DE LA DIRECCIÓN SECCIONAL DE ADMINISTRACIÓN JUDICIAL DE CARTAGENA,"/>
    <d v="2020-07-01T00:00:00"/>
    <d v="2020-07-01T00:00:00"/>
    <n v="14984700"/>
    <n v="0"/>
    <s v="PANAMERICANA LIBRERÍA Y PAPELERÍA S.A."/>
    <n v="830037946"/>
    <s v="CANECA TAPA PEDAL"/>
    <n v="97"/>
    <s v="UNIDAD"/>
    <n v="52700"/>
    <n v="0"/>
    <n v="5111900"/>
    <x v="15"/>
  </r>
  <r>
    <x v="5"/>
    <s v="ORDEN DE COMPRA 54893"/>
    <s v="CONTRATAR EN NOMBRE DE LA NACIÓN – CONSEJO SUPERIOR DE LA JUDICATURA EL SUMINISTRO DE GEL ANTIBACTERIAL, PARA LOS EMPLEADOS DE LOS DIFERENTES DESPACHOS JUDICIALES Y OFICINAS ADMINISTRATIVAS A CARGO DE LA DIRECCIÓN SECCIONAL DE ADMINISTRACIÓN JUDICIAL DE CARTAGENA"/>
    <d v="2020-09-09T00:00:00"/>
    <d v="2020-09-09T00:00:00"/>
    <n v="6100000"/>
    <n v="0"/>
    <s v="SUMIMAS S.A.S."/>
    <n v="8300013381"/>
    <s v="GEL ANTIBACTERIAL "/>
    <n v="1500"/>
    <s v="LITRO"/>
    <n v="4066.6666666666665"/>
    <n v="0"/>
    <n v="6100000"/>
    <x v="4"/>
  </r>
  <r>
    <x v="5"/>
    <s v="ORDEN DE COMPRA 55150"/>
    <s v="CONTRATAR EN NOMBRE DE LA NACIÓN – CONSEJO SUPERIOR DE LA JUDICATURA EL SUMINISTRO DE CARETAS ANTIFLUIDOS PARA LOS EMPLEADOS DE LOS DIFERENTES DESPACHOS JUDICIALES Y OFICINAS ADMINISTRATIVAS A CARGO DE LA DIRECCIÓN SECCIONAL DE ADMINISTRACIÓN JUDICIAL DE CARTAGENA"/>
    <d v="2020-09-15T00:00:00"/>
    <d v="2020-09-15T00:00:00"/>
    <n v="385000"/>
    <n v="0"/>
    <s v="PLASTICOS FENIX SAS"/>
    <s v="89030768-1"/>
    <s v="CARETA DE BIOSEGURIDAD"/>
    <n v="150"/>
    <s v="UNIDAD"/>
    <n v="2566.6666666666665"/>
    <n v="0"/>
    <n v="385000"/>
    <x v="11"/>
  </r>
  <r>
    <x v="5"/>
    <s v="ORDEN DE COMPRA 55182"/>
    <s v=" SERVICIO DE SUMINISTRO DE TAPABOCAS DE TELA PARA LOS DIFERENTES DESPACHOS JUDICIALES Y OFICINAS ADMINISTRATIVAS A CARGO DE LA DIRECCIÓN SECCIONAL DE ADMINISTRACIÓN JUDICIAL DE CARTAGENA"/>
    <d v="2020-09-15T00:00:00"/>
    <d v="2020-09-15T00:00:00"/>
    <n v="5404600"/>
    <n v="0"/>
    <s v="XP COLOMBIA S.AS"/>
    <s v="900218414-4"/>
    <s v="TAPABOCA TELA"/>
    <n v="5400"/>
    <s v="UNIDAD"/>
    <n v="949"/>
    <n v="0"/>
    <n v="5124600"/>
    <x v="3"/>
  </r>
  <r>
    <x v="5"/>
    <s v="CT04-119-2020"/>
    <s v="CONTRATAR EN NOMBRE DE LA NACIÓN - CONSEJO SUPERIOR DE LA JUDICATURA - DIRECCIÓN SECCIONAL DE ADMINISTRACIÓN JUDICIAL DE CARTAGENA, LA ADQUISICIÓN DE MÁQUINA DE DESINFECCIÓN ESPALDA CAÑÓN SR-420."/>
    <d v="2020-12-28T00:00:00"/>
    <d v="2020-12-30T00:00:00"/>
    <n v="950000"/>
    <n v="0"/>
    <s v="MAQUINAGRO S.A.S"/>
    <s v="830145805-6"/>
    <s v="MAQUINA DE DESINFECCION"/>
    <n v="1"/>
    <s v="UNIDAD "/>
    <n v="798319.32773109246"/>
    <n v="151680.67226890757"/>
    <n v="950000"/>
    <x v="38"/>
  </r>
  <r>
    <x v="5"/>
    <s v="CT04-58-2020"/>
    <s v="PRESTACIÓN DEL SERVICIO DE PROMOCIÓN Y PREVENCIÓN DE LA SALUD, PARA EL CUMPLIMIENTO DEL PROTOCOLO DE BIOSEGURIDAD Y FORTALECIMIENTO LAS MEDIDAS DE PREVENCIÓN DEL CONTAGIO Y DE LA PROPAGACIÓN DEL COVID -19, EN LAS SEDES JUDICIALES"/>
    <d v="2020-10-23T00:00:00"/>
    <d v="2020-11-01T00:00:00"/>
    <n v="74804400"/>
    <n v="0"/>
    <s v="GAC MEDICINA ESPECIALIZADA"/>
    <s v="900518044-3"/>
    <s v="VIGIAS DE LA SALUD (POR 2 MESES)"/>
    <n v="16"/>
    <s v="VALOR MENSUAL POR PERSONA"/>
    <n v="2337637.5"/>
    <n v="0"/>
    <n v="74804400"/>
    <x v="6"/>
  </r>
  <r>
    <x v="6"/>
    <s v="C003-2020"/>
    <s v="SUMINISTRO DE_x000a_DOSCIENTAS CINCUENTA (250) CAJAS X (50 UNIDADES) DE TAPABOCAS COMÚN; Y_x000a_SEISCIENTAS (600) UNIDADES DE TAPABOCAS RESPIRADOR N95."/>
    <d v="2020-04-30T00:00:00"/>
    <d v="2020-03-30T00:00:00"/>
    <n v="27875000"/>
    <n v="0"/>
    <s v="CARLOS ALFREDO RANGEL_x000a_SANDOVAL"/>
    <n v="152446212"/>
    <s v="TAPABOCAS COMÚN CON ELÁSTICO"/>
    <n v="12500"/>
    <s v="UNIDAD"/>
    <n v="1750"/>
    <n v="0"/>
    <n v="21875000"/>
    <x v="3"/>
  </r>
  <r>
    <x v="6"/>
    <s v="C003-2020"/>
    <s v="SUMINISTRO DE DOSCIENTAS CINCUENTA (250) CAJAS X (50 UNIDADES) DE TAPABOCAS COMÚN; Y SEISCIENTAS (600) UNIDADES DE TAPABOCAS RESPIRADOR N95."/>
    <d v="2020-04-30T00:00:00"/>
    <d v="2020-03-30T00:00:00"/>
    <n v="27875000"/>
    <n v="0"/>
    <s v="CARLOS ALFREDO RANGEL_x000a_SANDOVAL"/>
    <n v="152446212"/>
    <s v="TAPABOCAS RESPIRADOR N95 M8210"/>
    <n v="600"/>
    <s v="UNIDAD"/>
    <n v="10000"/>
    <n v="0"/>
    <n v="6000000"/>
    <x v="3"/>
  </r>
  <r>
    <x v="6"/>
    <s v="C004-2020"/>
    <s v="SERVICIO DE TRES (3) CICLOS DE DESINFECCION POR MEDIO DE ASPERSIÓN PARA VIRUS, BACTERIAS, Y HONGOS, LOS DESPACHOS JUDICIALES Y ÁREAS DE ARCHIVOS DEL BLOQUE A, B, Y C, GIMNASIO Y ZONAS COMUNES DEL PALACIO DE JUSTICIA DE CÚCUTA…"/>
    <d v="2020-04-16T00:00:00"/>
    <d v="2020-04-21T00:00:00"/>
    <n v="38556000"/>
    <n v="0"/>
    <s v="AGROFORESTALES WILMADERAS S.A.S"/>
    <n v="900588802"/>
    <s v="TRES (3) CICLOS DE DESINFECCIÓN POR MEDIO DE ASPERSIÓN"/>
    <n v="3"/>
    <s v="SEDE"/>
    <n v="10800000"/>
    <n v="2052000"/>
    <n v="38556000"/>
    <x v="39"/>
  </r>
  <r>
    <x v="6"/>
    <s v="O.C. 47390"/>
    <s v="COMPRA DE TEMOMETROS INFLAROJOS, GUANTES DE VITRILO PAPELERA PEDAL 22LT"/>
    <d v="2020-04-24T00:00:00"/>
    <d v="2020-04-24T00:00:00"/>
    <n v="37196160"/>
    <n v="0"/>
    <s v="PANAMERICANA LIBRERÍA Y PAPELERÍA S.A."/>
    <n v="800037946"/>
    <s v="GUANTE NITRILO CAJA X100"/>
    <n v="93"/>
    <s v="CAJA X 100"/>
    <n v="57800"/>
    <n v="0"/>
    <n v="5375400"/>
    <x v="10"/>
  </r>
  <r>
    <x v="6"/>
    <s v="O.C. 47390"/>
    <s v="COMPRA DE TEMOMETROS INFLAROJOS, GUANTES DE VITRILO PAPELERA PEDAL 22LT"/>
    <d v="2020-04-24T00:00:00"/>
    <d v="2020-04-24T00:00:00"/>
    <n v="37196160"/>
    <n v="0"/>
    <s v="PANAMERICANA LIBRERÍA Y PAPELERÍA S.A."/>
    <n v="800037946"/>
    <s v="TERMÓMETRO DIGITAL  INFRARROJO"/>
    <n v="18"/>
    <s v="UNIDAD"/>
    <n v="631600"/>
    <n v="0"/>
    <n v="11368800"/>
    <x v="22"/>
  </r>
  <r>
    <x v="6"/>
    <s v="O.C. 47390"/>
    <s v="COMPRA DE TEMOMETROS INFLAROJOS, GUANTES DE VITRILO PAPELERA PEDAL 22LT"/>
    <d v="2020-04-24T00:00:00"/>
    <d v="2020-04-24T00:00:00"/>
    <n v="37196160"/>
    <n v="0"/>
    <s v="PANAMERICANA LIBRERÍA Y PAPELERÍA S.A."/>
    <n v="800037946"/>
    <s v="TAPABOCAS DESECHABLE"/>
    <n v="33000"/>
    <s v="UNIDAD"/>
    <n v="541"/>
    <n v="0"/>
    <n v="17853000"/>
    <x v="3"/>
  </r>
  <r>
    <x v="6"/>
    <s v="O.C. 47390"/>
    <s v="COMPRA DE TEMOMETROS INFLAROJOS, GUANTES DE VITRILO PAPELERA PEDAL 22LT"/>
    <d v="2020-04-24T00:00:00"/>
    <d v="2020-04-24T00:00:00"/>
    <n v="37196160"/>
    <n v="0"/>
    <s v="PANAMERICANA LIBRERÍA Y PAPELERÍA S.A."/>
    <n v="800037946"/>
    <s v="PAPELERA PEDAL DE 22LITROS"/>
    <n v="60"/>
    <s v="UNIDAD"/>
    <n v="43316"/>
    <n v="0"/>
    <n v="2598960"/>
    <x v="15"/>
  </r>
  <r>
    <x v="6"/>
    <s v="AO-013-2020"/>
    <s v="CONTRATAR EN NOMBRE DE LA NACIÓN CONSEJO SUPERIOR DE LA JUDICATURA – DIRECCIÓN SECCIONAL DE ADMINISTRACIÓN JUDICIAL DE CÚCUTA, EL SUMINISTRO DE 500 BATAS PARA LOS DESPACHOS JUDICIALES DE LOS MUNICIPIOS DE LOS DEPARTAMENTOS DE NORTE DE SANTANDER Y ARAUCA, EN LAS CONDICIONES TÉCNICAS DE CALIDAD Y CANTIDAD ESTABLECIDAS POR EL CONSEJO SUPERIOR DE LA JUDICATURA."/>
    <d v="2020-05-18T00:00:00"/>
    <d v="2020-05-19T00:00:00"/>
    <n v="17409500"/>
    <n v="0"/>
    <s v="SUPERIOR DE DOTACIONES SAS"/>
    <n v="8301448751"/>
    <s v="BATAS EN TELA POLIÉSTER Y ALGODÓN, MANGA CORTA. "/>
    <n v="500"/>
    <s v="UNIDAD"/>
    <n v="34819"/>
    <n v="0"/>
    <n v="17409500"/>
    <x v="34"/>
  </r>
  <r>
    <x v="6"/>
    <s v="AO-014-2020"/>
    <s v="CONTRATAR EN NOMBRE DE LA NACIÓN CONSEJO SUPERIOR DE LA JUDICATURA – DIRECCIÓN SECCIONAL DE ADMINISTRACIÓN JUDICIAL DE CÚCUTA, EL SUMINISTRO DE 51 TERMÓMETROS DIGITAL SIN CONTACTO PARA LOS DESPACHOS JUDICIALES DE LOS MUNICIPIOS DE LOS DEPARTAMENTOS DE NORTE DE SANTANDER Y ARAUCA, EN LAS CONDICIONES TÉCNICAS DE CALIDAD Y CANTIDAD ESTABLECIDAS POR EL CONSEJO SUPERIOR DE LA JUDICATURA."/>
    <d v="2020-05-22T00:00:00"/>
    <d v="2020-05-26T00:00:00"/>
    <n v="13770000"/>
    <n v="0"/>
    <s v="SUMINISTROS DE LABORATORIO KSALAB"/>
    <n v="900745087"/>
    <s v="TERMÓMETRO DIGITAL INFRARROJO SIN CONTACTO"/>
    <n v="51"/>
    <s v="UNIDAD"/>
    <n v="270000"/>
    <n v="0"/>
    <n v="13770000"/>
    <x v="22"/>
  </r>
  <r>
    <x v="6"/>
    <s v="AO-015-2020"/>
    <s v="CONTRATAR EN NOMBRE DE LA NACIÓN – CONSEJO SUPERIOR DE LA JUDICATURA – DIRECCIÓN SECCIONAL DE ADMINISTRACIÓN JUDICIAL CÚCUTA, EL SUMINISTRO DE: 6 LAVAMANOS FIJOS; 2 LAVAMANOS PORTÁTILES; 39 PORTA DISPENSADOR DE ANTIBACTERIAL; EN LAS CONDICIONES TÉCNICAS DE CALIDAD Y CANTIDAD ESTABLECIDAS POR EL CONSEJO SUPERIOR DE LA JUDICATURA DE CONFORMIDAD CON LO PREVISTO EN EL ARTICULO 42 DE LA LEY 80 DE 1993. "/>
    <d v="2020-05-26T00:00:00"/>
    <d v="2020-05-27T00:00:00"/>
    <n v="18549720"/>
    <n v="0"/>
    <s v="MANTENIMIENTOS INDUSTRIALES WILLIAM ARAQUE"/>
    <n v="1090509490"/>
    <s v="LAVAMANOS PORTÁTILES ACERO INOX."/>
    <n v="2"/>
    <s v="UNIDAD"/>
    <n v="1522500"/>
    <n v="289275"/>
    <n v="3623550"/>
    <x v="9"/>
  </r>
  <r>
    <x v="6"/>
    <s v="AO-015-2020"/>
    <s v="CONTRATAR EN NOMBRE DE LA NACIÓN – CONSEJO SUPERIOR DE LA JUDICATURA – DIRECCIÓN SECCIONAL DE ADMINISTRACIÓN JUDICIAL CÚCUTA, EL SUMINISTRO DE: 6 LAVAMANOS FIJOS; 2 LAVAMANOS PORTÁTILES; 39 PORTA DISPENSADOR DE ANTIBACTERIAL; EN LAS CONDICIONES TÉCNICAS DE CALIDAD Y CANTIDAD ESTABLECIDAS POR EL CONSEJO SUPERIOR DE LA JUDICATURA DE CONFORMIDAD CON LO PREVISTO EN EL ARTICULO 42 DE LA LEY 80 DE 1993. "/>
    <d v="2020-05-26T00:00:00"/>
    <d v="2020-05-27T00:00:00"/>
    <n v="18549720"/>
    <n v="0"/>
    <s v="MANTENIMIENTOS INDUSTRIALES WILLIAM ARAQUE"/>
    <n v="1090509490"/>
    <s v="LAVAMANOS FIJOS ACERO INOX."/>
    <n v="6"/>
    <s v="UNIDAD"/>
    <n v="758000"/>
    <n v="144020"/>
    <n v="5412120"/>
    <x v="9"/>
  </r>
  <r>
    <x v="6"/>
    <s v="AO-015-2020"/>
    <s v="CONTRATAR EN NOMBRE DE LA NACIÓN – CONSEJO SUPERIOR DE LA JUDICATURA – DIRECCIÓN SECCIONAL DE ADMINISTRACIÓN JUDICIAL CÚCUTA, EL SUMINISTRO DE: 6 LAVAMANOS FIJOS; 2 LAVAMANOS PORTÁTILES; 39 PORTA DISPENSADOR DE ANTIBACTERIAL; EN LAS CONDICIONES TÉCNICAS DE CALIDAD Y CANTIDAD ESTABLECIDAS POR EL CONSEJO SUPERIOR DE LA JUDICATURA DE CONFORMIDAD CON LO PREVISTO EN EL ARTICULO 42 DE LA LEY 80 DE 1993. "/>
    <d v="2020-05-26T00:00:00"/>
    <d v="2020-05-27T00:00:00"/>
    <n v="18549720"/>
    <n v="0"/>
    <s v="MANTENIMIENTOS INDUSTRIALES WILLIAM ARAQUE"/>
    <n v="1090509490"/>
    <s v="DISPENSADOR DE ANTIBACTERIAL ACERO INOX."/>
    <n v="39"/>
    <s v="UNIDAD"/>
    <n v="205000"/>
    <n v="38950"/>
    <n v="9514050"/>
    <x v="12"/>
  </r>
  <r>
    <x v="6"/>
    <s v="AO-016-2020"/>
    <s v="CONTRATAR EN NOMBRE DE LA NACIÓN CONSEJO SUPERIOR DE LA JUDICATURA – DIRECCIÓN SECCIONAL DE ADMINISTRACIÓN JUDICIAL DE CÚCUTA, EL SUMINISTRO DE: 47 BANDEJAS MEDIANAS (60X50CMS) PARA DESINFECCIÓN DE CALZADO CON PAÑO ESPECIAL ABSORBENTE (PARA EVITAR DERRAMES O SALPICADURAS FUERA DEL ÁREA), Y TAPETE PARA SECAR SUELA DE ZAPATOS (DESPUÉS DE DESINFECTAR PARA NO DERRAMAR LÍQUIDO EN EL PISO); Y 12 BANDEJAS GRANDES (60X120CMS) PARA DESINFECCIÓN DE CALZADO CON PAÑO ESPECIAL ABSORBENTE (PARA EVITAR DERRAMDERRAMES O SALPICADURAS FUERA DEL ÁREA), Y TAPETE PARA SECAR SUELA DE ZAPATOS (DESPUÉS DE DESINFECTAR PARA NO DERRAMAR LÍQUIDO, EN LAS CONDICIONES TÉCNICAS DE CALIDAD Y CANTIDAD ESTABLECIDAS POR EL CONSEJO SUPERIOR DE LA JUDICATURA."/>
    <d v="2020-06-03T00:00:00"/>
    <d v="2020-06-03T00:00:00"/>
    <n v="22580250"/>
    <n v="0"/>
    <s v="MANTENIMIENTOS INDUSTRIALES WILLIAM ARAQUE "/>
    <n v="1090509490"/>
    <s v="BANDEJA PARA DESINFECCIÓN DE CALZADO 60X50 CM LAMINA CAL.18"/>
    <n v="47"/>
    <s v="UNIDAD"/>
    <n v="285000"/>
    <n v="54150"/>
    <n v="15940050"/>
    <x v="35"/>
  </r>
  <r>
    <x v="6"/>
    <s v="AO-016-2020"/>
    <s v="CONTRATAR EN NOMBRE DE LA NACIÓN CONSEJO SUPERIOR DE LA JUDICATURA – DIRECCIÓN SECCIONAL DE ADMINISTRACIÓN JUDICIAL DE CÚCUTA, EL SUMINISTRO DE: 47 BANDEJAS MEDIANAS (60X50CMS) PARA DESINFECCIÓN DE CALZADO CON PAÑO ESPECIAL ABSORBENTE (PARA EVITAR DERRAMES O SALPICADURAS FUERA DEL ÁREA), Y TAPETE PARA SECAR SUELA DE ZAPATOS (DESPUÉS DE DESINFECTAR PARA NO DERRAMAR LÍQUIDO EN EL PISO); Y 12 BANDEJAS GRANDES (60X120CMS) PARA DESINFECCIÓN DE CALZADO CON PAÑO ESPECIAL ABSORBENTE (PARA EVITAR DERRAMDERRAMES O SALPICADURAS FUERA DEL ÁREA), Y TAPETE PARA SECAR SUELA DE ZAPATOS (DESPUÉS DE DESINFECTAR PARA NO DERRAMAR LÍQUIDO, EN LAS CONDICIONES TÉCNICAS DE CALIDAD Y CANTIDAD ESTABLECIDAS POR EL CONSEJO SUPERIOR DE LA JUDICATURA."/>
    <d v="2020-06-03T00:00:00"/>
    <d v="2020-06-03T00:00:00"/>
    <n v="22580250"/>
    <n v="0"/>
    <s v="MANTENIMIENTOS INDUSTRIALES WILLIAM ARAQUE "/>
    <n v="1090509490"/>
    <s v="BANDEJA PARA DESINFECCION CALZADO 60X120 CM LAMINA CAL.18"/>
    <n v="12"/>
    <s v="UNIDAD"/>
    <n v="465000"/>
    <n v="88350"/>
    <n v="6640200"/>
    <x v="35"/>
  </r>
  <r>
    <x v="6"/>
    <s v="O.C. 48657"/>
    <s v="SUMINISTRO DE TAPABOCAS PARA LA EMERGENCIA DEL COVID 19"/>
    <d v="2020-05-18T00:00:00"/>
    <d v="2020-05-18T00:00:00"/>
    <n v="189000000"/>
    <n v="0"/>
    <s v="TECNOINNSOFT SAS"/>
    <n v="9009354530"/>
    <s v="TAPABOCAS DESECHABLES"/>
    <n v="145000"/>
    <s v="UNIDAD"/>
    <n v="1300"/>
    <n v="0"/>
    <n v="188500000"/>
    <x v="3"/>
  </r>
  <r>
    <x v="6"/>
    <s v="O.C. 48659"/>
    <s v="SUMINISTRO DE GUANTES DE NITRITO PARA ATENDER LA EMERGENCIA COVID 19"/>
    <d v="2020-05-18T00:00:00"/>
    <d v="2020-05-18T00:00:00"/>
    <n v="28900000"/>
    <n v="0"/>
    <s v="PANAMERICANA PAPELERIA Y LIBRERÍA SAS"/>
    <n v="830037946"/>
    <s v="GUANTE NITRILO CAJA X100"/>
    <n v="500"/>
    <s v="CAJA X 100"/>
    <n v="57800"/>
    <n v="0"/>
    <n v="28900000"/>
    <x v="10"/>
  </r>
  <r>
    <x v="6"/>
    <s v="O.C. 48594"/>
    <s v=" SUMINISTRO DE TAPABOCAS PARA LA EMERGENCIA DEL COVID 19"/>
    <d v="2020-05-15T00:00:00"/>
    <d v="2020-05-15T00:00:00"/>
    <n v="5445000"/>
    <n v="0"/>
    <s v="FABIAN PEREZ"/>
    <n v="807369955"/>
    <s v="TAPABOCAS DESECHABLES"/>
    <n v="5000"/>
    <s v="UNIDAD"/>
    <n v="989"/>
    <n v="0"/>
    <n v="4945000"/>
    <x v="3"/>
  </r>
  <r>
    <x v="6"/>
    <s v="AO-020-2020"/>
    <s v=" LA PRESTACIÓN DEL SERVICIO DE DIECIOCHO (18) VIGÍAS DE LA SALUD A FIN DE QUE DESARROLLEN LAS FUNCIONES DE QUE TRATA EL ART 18 DEL ACUERDO PCSJA20-11567 EN LAS SEDES DE ESTA DIRECCIÓN SECCIONAL DE ADMINISTRACIÓN JUDICIAL, INCLUIDO LA TOMA DE TEMPERATURA, PARA LA PREVENCIÓN DEL CONTAGIO Y PROPAGACIÓN DEL COVID-19; EN LAS CONDICIONES TÉCNICAS DE CALIDAD Y CANTIDAD ESTABLECIDAS POR EL CONSEJO SUPERIOR DE LA JUDICATURA."/>
    <d v="2020-06-24T00:00:00"/>
    <d v="2020-06-23T00:00:00"/>
    <n v="87606036"/>
    <n v="0"/>
    <s v="MANTENIMIENTO HELIO E.S.T. SAS"/>
    <n v="807003817"/>
    <s v="VIGIAS DE LA SALUD (POR 3 MESES)"/>
    <n v="18"/>
    <s v="VALOR MENSUAL POR PERSONA"/>
    <n v="1622334"/>
    <n v="0"/>
    <n v="87606036"/>
    <x v="6"/>
  </r>
  <r>
    <x v="6"/>
    <s v="AO-021-2020"/>
    <s v="CONTRATAR EN NOMBRE DE LA NACIÓN CONSEJO SUPERIOR DE LA JUDICATURA – DIRECCIÓN SECCIONAL DE ADMINISTRACIÓN JUDICIAL DE CÚCUTA, EL SUMINISTRO DE 60 PORTA DISPENSADOR DE ANTIBACTERIAL PARA LA PREVENCIÓN DE LA PANDEMIA COVID19; EN LAS CONDICIONES TÉCNICAS DE CALIDAD Y CANTIDAD ESTABLECIDAS POR EL CONSEJO SUPERIOR DE LA JUDICATURA"/>
    <d v="2020-06-25T00:00:00"/>
    <d v="2020-06-30T00:00:00"/>
    <n v="8568000"/>
    <n v="0"/>
    <s v="NOHORA HAYDEE VILLAMIZAR VIVAS"/>
    <n v="372476171"/>
    <s v="DISPENSADOR DE GEL EN ACERO INOXIDABLE"/>
    <n v="60"/>
    <s v="UNIDAD"/>
    <n v="120000"/>
    <n v="22800"/>
    <n v="8568000"/>
    <x v="12"/>
  </r>
  <r>
    <x v="6"/>
    <s v="AO-025-2020"/>
    <s v="EL SUMINISTRO DE UNA CARPA EN LONA (117,3 MTS^2 , ASEGURAMIENTO, PINTURA, Y PROTOCOLO DE BIOSEGURIDAD), Y SU CORRESPONDIENTE INSTALACIÓN EN EL PALACIO DE JUSTICIA DE CÚCUTA, PARA ACCESO DE PERSONAL Y PUBLICO SEGÚN EL PROTOCOLO DE INGRESO PARA LA PREVENCIÓN Y CONTENCIÓN DE LA PANDEMIA COVID19; EN LAS CONDICIONES TÉCNICAS DE CALIDAD Y CANTIDAD ESTABLECIDAS POR EL CONSEJO SUPERIOR DE LA JUDICATURA"/>
    <d v="2020-07-07T00:00:00"/>
    <d v="2020-07-07T00:00:00"/>
    <n v="17229514"/>
    <n v="0"/>
    <s v="LOGISTICA Y MONTAJES S.A.M S.A.S."/>
    <n v="901082049"/>
    <s v="CARPA"/>
    <n v="1"/>
    <s v="UNIDAD"/>
    <n v="17229514"/>
    <n v="0"/>
    <n v="17229514"/>
    <x v="40"/>
  </r>
  <r>
    <x v="6"/>
    <s v="AO-027-2020"/>
    <s v="EL SUMINISTRO DE NOVENTA (90) CÁMARAS Y NOVENTA (90) DIADEMAS PARA COMPUTADOR, EN ATENCIÓN A LAS MEDIDAS DE PREVENCIÓN Y CONTENCIÓN DE LA PANDEMIA COVID19, PARA LAS AUDIENCIAS Y DILIGENCIAS VIRTUALES; EN LAS CONDICIONES TÉCNICAS DE CALIDAD Y CANTIDAD ESTABLECIDAS POR EL CONSEJO SUPERIOR DE LA JUDICATURA"/>
    <d v="2020-07-08T00:00:00"/>
    <d v="2020-07-10T00:00:00"/>
    <n v="18314100"/>
    <n v="3301060"/>
    <s v="COMERCIALIZADORA CAFE BOTERO SAS"/>
    <n v="9003340370"/>
    <s v="CAMARAS"/>
    <n v="90"/>
    <s v="UNIDAD"/>
    <n v="133000"/>
    <n v="25270"/>
    <n v="14244300"/>
    <x v="18"/>
  </r>
  <r>
    <x v="6"/>
    <s v="AO-027-2020"/>
    <s v="EL SUMINISTRO DE NOVENTA (90) CÁMARAS Y NOVENTA (90) DIADEMAS PARA COMPUTADOR, EN ATENCIÓN A LAS MEDIDAS DE PREVENCIÓN Y CONTENCIÓN DE LA PANDEMIA COVID19, PARA LAS AUDIENCIAS Y DILIGENCIAS VIRTUALES; EN LAS CONDICIONES TÉCNICAS DE CALIDAD Y CANTIDAD ESTABLECIDAS POR EL CONSEJO SUPERIOR DE LA JUDICATURA"/>
    <d v="2020-07-08T00:00:00"/>
    <d v="2020-07-10T00:00:00"/>
    <n v="18314100"/>
    <n v="3301060"/>
    <s v="COMERCIALIZADORA CAFE BOTERO SAS"/>
    <n v="9003340370"/>
    <s v="DIADEMAS"/>
    <n v="90"/>
    <s v="UNIDAD"/>
    <n v="38000"/>
    <n v="7220"/>
    <n v="4069800"/>
    <x v="19"/>
  </r>
  <r>
    <x v="6"/>
    <s v="AO-028-2020"/>
    <s v="LA PRESTACIÓN DEL SERVICIO DE ALQUILER DE DIEZ (10) ESCÁNER PARA: LAS SEDES DE: OCAÑA (1), ARAUCA (4), JUZGADOS ADMINISTRATIVOS (1), JUZGADOS LABORALES (1), CÚCUTA (3), O SEGÚN LA NECESIDAD SUSCITADA, COMO UNA MEDIDA PROVISIONAL DEL PLAN DE DIGITALIZACIÓN DE EXPEDIENTES, EN ATENCIÓN A LAS MEDIDAS DE PREVENCIÓN Y CONTENCIÓN DE LA PANDEMIA COVID19."/>
    <d v="2020-07-09T00:00:00"/>
    <d v="2020-07-13T00:00:00"/>
    <n v="6664000"/>
    <n v="3332000"/>
    <s v=" PATIÑO Y CONTRERAS CIA SAS"/>
    <n v="807002365"/>
    <s v="ALQUILER SCANNER POR DOS MESES"/>
    <n v="10"/>
    <s v="VALOR MENSUAL POR EQUIPO"/>
    <n v="280000"/>
    <n v="53200"/>
    <n v="6664000"/>
    <x v="14"/>
  </r>
  <r>
    <x v="6"/>
    <s v="AO-029-2020"/>
    <s v="EL SUMINISTRO Y LA PRESTACIÓN DEL SERVICIO DE INSTALACIÓN DE CUARENTA Y TRES (43) PANTALLAS DE VIDRIO, CON EL PROPÓSITO DE FACILITAR EL AISLAMIENTO DE LOS USUARIOS DE LA JUSTICIA Y LOS SERVIDORES JUDICIALES, QUE AYUDE A DISMINUIR LA PROBABILIDAD DE CONTAMINACIÓN Y DE CREAR UNA BARRERA DE PROTECCIÓN PARA QUIENES ATIENDEN PÚBLICO, EN ATENCIÓN A LAS MEDIDAS DE PREVENCIÓN Y CONTENCIÓN DE LA PANDEMIA COVID19."/>
    <d v="2020-07-15T00:00:00"/>
    <d v="2020-07-16T00:00:00"/>
    <n v="28455875"/>
    <n v="12131931"/>
    <s v=" CLAVIJO BUENO JHON ALFREDO"/>
    <n v="88206625"/>
    <s v="43 PANTALLAS  EN VIDRIO PROTECTORA PARA  DESPACHOS JUDICIALES"/>
    <n v="43"/>
    <s v="UNIDAD"/>
    <n v="556104.65116279072"/>
    <n v="105659.88372093024"/>
    <n v="28455875"/>
    <x v="13"/>
  </r>
  <r>
    <x v="6"/>
    <s v="AO-038-2020"/>
    <s v="REQUIERE EL SUMINISTRO DE 255 PULVERIZADORES DE BOMBAS ATOMIZADORAS ROCIADORAS ASPERSOR, PARA EFECTUAR LA DESINFECCIÓN MANUAL POR MEDIO DE ASPERSIÓN A TODOS LOS  DOCUMENTOS QUE INGRESEN A LOS DESPACHOS JUDICIALES, COMO MEDIDA DE PREVENCIÓN Y CONTENCIÓN CONTRA EL VIRUS ORIGINADO POR LA PANDEMIA COVID19"/>
    <d v="2020-09-21T00:00:00"/>
    <d v="2020-09-23T00:00:00"/>
    <n v="5100000"/>
    <n v="0"/>
    <s v="MULTICOMPUTO CUCUTA S.A.S"/>
    <n v="900352009"/>
    <s v="ASPERSORES PULVERIZADORES"/>
    <n v="255"/>
    <s v="UNIDAD"/>
    <n v="20000"/>
    <n v="0"/>
    <n v="5100000"/>
    <x v="41"/>
  </r>
  <r>
    <x v="6"/>
    <s v="AO-040-2020"/>
    <s v="PRESTACIÓN DEL SERVICIO DE ALQUILER DE POR EL TERMINO DE DOS (02) MESES, DE VEINTIÚN (21) ESCÁNER PARA LAS SEDES DE: OCAÑA (1), ARAUCA (4), JUZGADOS ADMINISTRATIVOS (2), JUZGADO LABORALES (1), JUZGADOS DE PENAS Y MEDIDAS (2), JUZGADOS DE FAMILIA (1), CESPA (1), JUZGADOS CIVILES MUNICIPALES (2), JUZGADOS CIVILES CIRCUITO (1), SALA DISCIPLINARIA (1), SALA LABORAL (1), TRIBUNAL ADMINISTRATIVO (1), SISTEMA PENAL ACUSATORIO (1), SALA PENAL (1), SALA CIVIL (1), EN ATENCIÓN A LAS MEDIDAS COVID19."/>
    <d v="2020-10-09T00:00:00"/>
    <d v="2020-10-13T00:00:00"/>
    <n v="17992800"/>
    <n v="3427200"/>
    <s v="PATIÑO Y CONTRERAS CIA SAS - OFICANON - "/>
    <n v="807002365"/>
    <s v="ALQUILER DE SCANNER DOS MESES "/>
    <n v="21"/>
    <s v="VALOR MENSUAL POR EQUIPO"/>
    <n v="360000"/>
    <n v="68400"/>
    <n v="17992800"/>
    <x v="14"/>
  </r>
  <r>
    <x v="6"/>
    <s v="AO-045-2020"/>
    <s v="EL SUMINISTRO Y LA PRESTACIÓN DEL SERVICIO DE INSTALACIÓN DE OCHENTA Y SIETE (87) PANTALLAS DE VIDRIO Y TRES (03) JUEGOS DE PUERTAS, CON EL PROPÓSITO DE FACILITAR EL AISLAMIENTO DE LOS USUARIOS DE LA JUSTICIA Y LOS SERVIDORES JUDICIALES QUE UTILIZAN LAS SALAS DE AUDIENCIA, CON EL PROPÓSITO DE AYUDAR A DISMINUIR LA PROBABILIDAD DE CONTAMINACIÓN Y DE CREAR UNA_x000a_BARRERA DE PROTECCIÓN, EN ATENCIÓN A LAS MEDIDAS DE PREVENCIÓN Y CONTENCIÓN DE LA PANDEMIA COVID19;"/>
    <d v="2020-12-09T00:00:00"/>
    <d v="2020-12-10T00:00:00"/>
    <n v="65937900"/>
    <n v="0"/>
    <s v="JHON ALFREDO CLAVIJO BUENO TREFINOR INGENIEROS ASOCIADOS"/>
    <n v="88206625"/>
    <s v="PANTALLAS PROTECTORAS  PARA SALAS DE AUDIENCIA"/>
    <n v="87"/>
    <s v="UNIDAD"/>
    <n v="636896.55172413797"/>
    <n v="121010.34482758622"/>
    <n v="65937900"/>
    <x v="13"/>
  </r>
  <r>
    <x v="6"/>
    <s v="54390"/>
    <s v="_x000a_SUMINISTRO DE SCANER CAMA BAJA CON DESTINO A DESPACHOS JUDICIALES Y DEPENDENCIAS ADMINISTRATIVAS  "/>
    <d v="2020-08-31T00:00:00"/>
    <d v="2020-08-31T00:00:00"/>
    <n v="429895830"/>
    <n v="0"/>
    <s v="GRUPO EMPRESARIAL CREAR DE COLOMBIA S.A.S."/>
    <n v="900564459"/>
    <s v="ESCANNER CAMA PLANA 10000 PAGINAS"/>
    <n v="185"/>
    <s v="UNIDAD"/>
    <n v="1875000"/>
    <n v="356250"/>
    <n v="412781250"/>
    <x v="17"/>
  </r>
  <r>
    <x v="6"/>
    <s v="54666"/>
    <s v="SUMINISTRO DE GEL ANTIBACTERIAL, JABON LIQUIDO Y TOALLAS DE PAPEL PARA MANOS CON DESTINO A LOS DESPACHOS JUDICIALES DE NORTE DE SANTANDER Y ARAUCA "/>
    <d v="2020-09-03T00:00:00"/>
    <d v="2020-09-03T00:00:00"/>
    <n v="14787292"/>
    <n v="0"/>
    <s v="SUMIMAS S A S"/>
    <n v="8300013381"/>
    <s v="JABON DISPENSADOR PARA MANOS GL"/>
    <n v="1323.75"/>
    <s v="LITRO"/>
    <n v="1848.5333333333333"/>
    <n v="351.22133333333335"/>
    <n v="2911925.24"/>
    <x v="5"/>
  </r>
  <r>
    <x v="6"/>
    <s v="54666"/>
    <s v="SUMINISTRO DE GEL ANTIBACTERIAL, JABON LIQUIDO Y TOALLAS DE PAPEL PARA MANOS CON DESTINO A LOS DESPACHOS JUDICIALES DE NORTE DE SANTANDER Y ARAUCA "/>
    <d v="2020-09-03T00:00:00"/>
    <d v="2020-09-03T00:00:00"/>
    <n v="14787292"/>
    <n v="0"/>
    <s v="SUMIMAS S A S"/>
    <n v="8300013381"/>
    <s v="GEL ANTIBACTERIAL GL"/>
    <n v="1050"/>
    <s v="LITRO"/>
    <n v="3466.6666666666665"/>
    <n v="658.66666666666663"/>
    <n v="4331600"/>
    <x v="4"/>
  </r>
  <r>
    <x v="6"/>
    <s v="54666"/>
    <s v="SUMINISTRO DE GEL ANTIBACTERIAL, JABON LIQUIDO Y TOALLAS DE PAPEL PARA MANOS CON DESTINO A LOS DESPACHOS JUDICIALES DE NORTE DE SANTANDER Y ARAUCA "/>
    <d v="2020-09-03T00:00:00"/>
    <d v="2020-09-03T00:00:00"/>
    <n v="14787292"/>
    <n v="0"/>
    <s v="SUMIMAS S A S"/>
    <n v="8300013381"/>
    <s v="TOALLAS PARA MANOS"/>
    <n v="1620"/>
    <s v="PAQUETE"/>
    <n v="3320"/>
    <n v="630.79999999999995"/>
    <n v="6400296"/>
    <x v="8"/>
  </r>
  <r>
    <x v="6"/>
    <s v="55430"/>
    <s v="DISPENSADORES PLASTICOS BLANCOS DE TOALLAS EN Z PARA MANOS"/>
    <d v="2020-09-21T00:00:00"/>
    <d v="2020-09-21T00:00:00"/>
    <n v="10920060"/>
    <n v="0"/>
    <s v="CENCOSUD COLOMBIA S.A"/>
    <n v="900155107"/>
    <s v="DISPENSADOR TOALLAS "/>
    <n v="180"/>
    <s v="UNIDAD"/>
    <n v="60667"/>
    <n v="0"/>
    <n v="10920060"/>
    <x v="12"/>
  </r>
  <r>
    <x v="6"/>
    <s v="56653"/>
    <s v="SUMIISTRO DE CAMARAS WED Y DIADEMAS PARA LA VIRTUALIDAD"/>
    <d v="2020-10-19T00:00:00"/>
    <d v="2020-10-19T00:00:00"/>
    <n v="110694600"/>
    <n v="0"/>
    <s v="GRUPO EMPRESARIAL CREAR DE COLOMBIA S.A.S."/>
    <n v="900564459"/>
    <s v="DIADEMA PARA COMPUTADOR"/>
    <n v="320"/>
    <s v="UNIDAD"/>
    <n v="172000"/>
    <n v="32680"/>
    <n v="65497600"/>
    <x v="19"/>
  </r>
  <r>
    <x v="6"/>
    <s v="56653"/>
    <s v="SUMIISTRO DE CAMARAS WED Y DIADEMAS PARA LA VIRTUALIDAD"/>
    <d v="2020-10-19T00:00:00"/>
    <d v="2020-10-19T00:00:00"/>
    <n v="110694600"/>
    <n v="0"/>
    <s v="GRUPO EMPRESARIAL CREAR DE COLOMBIA S.A.S."/>
    <n v="900564459"/>
    <s v="CAMARA WEB FACE"/>
    <n v="150"/>
    <s v="UNIDAD"/>
    <n v="242000"/>
    <n v="45980"/>
    <n v="43197000"/>
    <x v="18"/>
  </r>
  <r>
    <x v="6"/>
    <s v="57000"/>
    <s v="SUMINISTRO DE TERMOMETROS "/>
    <d v="2020-10-22T00:00:00"/>
    <d v="2020-10-22T00:00:00"/>
    <n v="2773305"/>
    <n v="0"/>
    <s v="CENCOSUD COLOMBIA S.A."/>
    <s v=" 900155107"/>
    <s v="TERMOMETROS"/>
    <n v="15"/>
    <s v="UNIDAD"/>
    <n v="184887"/>
    <n v="0"/>
    <n v="2773305"/>
    <x v="22"/>
  </r>
  <r>
    <x v="6"/>
    <s v="57149"/>
    <s v="SUMINISTRO DE CANECAS COLOR VERDE O GRIS CON DESTINO A DESPACHOS JUDICIALES  "/>
    <d v="2020-10-26T00:00:00"/>
    <d v="2020-10-26T00:00:00"/>
    <n v="3850000"/>
    <n v="0"/>
    <s v="CENCOSUD COLOMBIA S.A."/>
    <n v="900155107"/>
    <s v="CANECA PLASTICA"/>
    <n v="70"/>
    <s v="UNIDAD"/>
    <n v="55000"/>
    <n v="0"/>
    <n v="3850000"/>
    <x v="15"/>
  </r>
  <r>
    <x v="6"/>
    <s v="57002"/>
    <s v="SUMINISTRO DE CARETAS "/>
    <d v="2020-10-22T00:00:00"/>
    <d v="2020-10-22T00:00:00"/>
    <n v="5710500"/>
    <n v="0"/>
    <s v="PANAMERICANA LIBRERÍA Y PAPELERÍA S.A."/>
    <n v="830037946"/>
    <s v="CARETA"/>
    <n v="500"/>
    <s v="UNIDAD"/>
    <n v="11421"/>
    <n v="0"/>
    <n v="5710500"/>
    <x v="11"/>
  </r>
  <r>
    <x v="6"/>
    <s v="59777"/>
    <s v="SUMINISTRO DE TERMOMETROS DIGITALES INFRAROJOS."/>
    <d v="2020-11-26T00:00:00"/>
    <d v="2020-11-26T00:00:00"/>
    <n v="1800000"/>
    <n v="0"/>
    <s v="FALABELLA DE COLOMBIA SA"/>
    <n v="900017447"/>
    <s v="TERMOMETROS"/>
    <n v="18"/>
    <s v="UNIDAD"/>
    <n v="100000"/>
    <n v="0"/>
    <n v="1800000"/>
    <x v="22"/>
  </r>
  <r>
    <x v="6"/>
    <s v="60036"/>
    <s v="SUMINISTRO DE AMONIO CUATERNARIO"/>
    <d v="2020-11-28T00:00:00"/>
    <d v="2020-11-28T00:00:00"/>
    <n v="5550000"/>
    <n v="0"/>
    <s v="FERREICENTROS SAS"/>
    <n v="800237412"/>
    <s v="AMONIO"/>
    <n v="775"/>
    <s v="LITROS"/>
    <n v="7096.7741935483873"/>
    <n v="0"/>
    <n v="5500000"/>
    <x v="42"/>
  </r>
  <r>
    <x v="6"/>
    <s v="60627"/>
    <s v="SUMINISTRO DE CARETAS CON DESTINO A LOS DESPACHOS JUDICIALES.S/N ORDEN DE COMPRA 60627."/>
    <d v="2020-12-03T00:00:00"/>
    <d v="2020-12-03T00:00:00"/>
    <n v="5250000"/>
    <n v="0"/>
    <s v="PANAMERICANA LIBRERIA Y PAPELERIA SA"/>
    <n v="830037946"/>
    <s v="CARETA"/>
    <n v="500"/>
    <s v="UNIDAD"/>
    <n v="10500"/>
    <n v="0"/>
    <n v="5250000"/>
    <x v="11"/>
  </r>
  <r>
    <x v="6"/>
    <s v="60629"/>
    <s v="SUMINISTRO DE TAPABOCAS CON DESTINO A LOS DESPACHOS JUDICIALES.Y DEPENDENCIAS ADMINISTRATIVAS S/N ORDEN DE COMPRA 60629."/>
    <d v="2020-12-03T00:00:00"/>
    <d v="2020-12-03T00:00:00"/>
    <n v="87600000"/>
    <n v="0"/>
    <s v="FALABELLA DE COLOMBIA S A"/>
    <n v="900017447"/>
    <s v="TAPABOCA"/>
    <n v="120000"/>
    <s v="UNIDAD"/>
    <n v="729.99360000000001"/>
    <n v="0"/>
    <n v="87599232"/>
    <x v="3"/>
  </r>
  <r>
    <x v="6"/>
    <s v="61960"/>
    <s v="SUMINISTRO DE GEL ANTIBACTERIAL Y TOALLAS PARA MANOS CON DESTINO A DESP JUDIC Y DEP ADTIVAS NDES Y ARAUCA."/>
    <d v="2020-12-16T00:00:00"/>
    <d v="2020-12-16T00:00:00"/>
    <n v="12812903.15"/>
    <n v="0"/>
    <s v="SUMIMAS S A S"/>
    <n v="8300013381"/>
    <s v="GEL ANTIBACTERIAL GALON"/>
    <n v="1500"/>
    <s v="LITRO"/>
    <n v="4562.666666666667"/>
    <n v="0"/>
    <n v="6844000"/>
    <x v="4"/>
  </r>
  <r>
    <x v="6"/>
    <s v="61960"/>
    <s v="SUMINISTRO DE GEL ANTIBACTERIAL Y TOALLAS PARA MANOS CON DESTINO A DESP JUDIC Y DEP ADTIVAS NDES Y ARAUCA."/>
    <d v="2020-12-16T00:00:00"/>
    <d v="2020-12-16T00:00:00"/>
    <n v="12812903.15"/>
    <n v="0"/>
    <s v="SUMIMAS S A S"/>
    <n v="830001338"/>
    <s v="TOALLAS DE MANO KIMBERLY PAQUETE X 150 REF. 603"/>
    <n v="1735"/>
    <s v="PAQUETE"/>
    <n v="3440.29"/>
    <n v="0"/>
    <n v="5968903.1500000004"/>
    <x v="8"/>
  </r>
  <r>
    <x v="7"/>
    <s v="CUM26-001"/>
    <s v="ADQUISICIÓN DE TRAJES DE BIOSEGURIDAD COMO MEDIDA DE PREVENCIÓN DE CONTAGIO Y PROPAGACIÓN DEL COVID-19 DE LOS SERVIDORES QUE LABORAN EN EL DISTRITO JUDICIAL DE IBAGUÉ, EN ATENCIÓN A LA DECLARATORIA DE URGENCIA MANIFIESTA REALIZADA POR EL CSJ"/>
    <d v="2020-03-27T00:00:00"/>
    <d v="2020-03-27T00:00:00"/>
    <n v="4000000"/>
    <n v="0"/>
    <s v="INCINERADOS DEL HUILA – INCIHUILA S.A. E.S.P."/>
    <n v="813005241"/>
    <s v="TRAJE DE PROTECCION CORPORAL EN TELA JURIDICA"/>
    <n v="200"/>
    <s v="UNIDAD"/>
    <n v="16806.72"/>
    <n v="3193.2768000000001"/>
    <n v="3999999.3600000003"/>
    <x v="0"/>
  </r>
  <r>
    <x v="7"/>
    <s v="CUM26-002"/>
    <s v="LA ADQUISICIÓN DE ELEMENTOS DE PROTECCIÓN PERSONAL, LIMPIEZA Y DESINFECCIÓN,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5-12T00:00:00"/>
    <d v="2020-05-12T00:00:00"/>
    <n v="166018725"/>
    <n v="0"/>
    <s v="INCINERADOS DEL HUILA – INCIHUILA S.A. E.S.P."/>
    <n v="813005241"/>
    <s v="TAPABOCA QUIRURIGICO INDUSTRIAL 2 BANDAS"/>
    <n v="26000"/>
    <s v="UNIDAD"/>
    <n v="1100"/>
    <n v="0"/>
    <n v="28600000"/>
    <x v="3"/>
  </r>
  <r>
    <x v="7"/>
    <s v="CUM26-002"/>
    <s v="LA ADQUISICIÓN DE ELEMENTOS DE PROTECCIÓN PERSONAL, LIMPIEZA Y DESINFECCIÓN,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5-12T00:00:00"/>
    <d v="2020-05-12T00:00:00"/>
    <n v="166018725"/>
    <n v="0"/>
    <s v="INCINERADOS DEL HUILA – INCIHUILA S.A. E.S.P."/>
    <n v="813005241"/>
    <s v="GUANTES DE NITRILO DIFERENTES TALLAS CAJA X 100"/>
    <n v="600"/>
    <s v="CAJA X 100"/>
    <n v="42100"/>
    <n v="0"/>
    <n v="25260000"/>
    <x v="10"/>
  </r>
  <r>
    <x v="7"/>
    <s v="CUM26-002"/>
    <s v="LA ADQUISICIÓN DE ELEMENTOS DE PROTECCIÓN PERSONAL, LIMPIEZA Y DESINFECCIÓN,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5-12T00:00:00"/>
    <d v="2020-05-12T00:00:00"/>
    <n v="166018725"/>
    <n v="0"/>
    <s v="INCINERADOS DEL HUILA – INCIHUILA S.A. E.S.P."/>
    <n v="813005241"/>
    <s v="TOALLAS PARA MANOS X 150 UNIDADES"/>
    <n v="491"/>
    <s v="PAQUETE"/>
    <n v="6975"/>
    <n v="0"/>
    <n v="3424725"/>
    <x v="8"/>
  </r>
  <r>
    <x v="7"/>
    <s v="CUM26-002"/>
    <s v="LA ADQUISICIÓN DE ELEMENTOS DE PROTECCIÓN PERSONAL, LIMPIEZA Y DESINFECCIÓN,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5-12T00:00:00"/>
    <d v="2020-05-12T00:00:00"/>
    <n v="166018725"/>
    <n v="0"/>
    <s v="INCINERADOS DEL HUILA – INCIHUILA S.A. E.S.P."/>
    <n v="813005241"/>
    <s v="GEL ANTIBACTERIAL CONCENTRACIÓN MINIMA DEL 60%"/>
    <n v="2660"/>
    <s v="LITRO"/>
    <n v="15478.947368421053"/>
    <n v="0"/>
    <n v="41174000"/>
    <x v="4"/>
  </r>
  <r>
    <x v="7"/>
    <s v="CUM26-002"/>
    <s v="LA ADQUISICIÓN DE ELEMENTOS DE PROTECCIÓN PERSONAL, LIMPIEZA Y DESINFECCIÓN,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5-12T00:00:00"/>
    <d v="2020-05-12T00:00:00"/>
    <n v="166018725"/>
    <n v="0"/>
    <s v="INCINERADOS DEL HUILA – INCIHUILA S.A. E.S.P."/>
    <n v="813005241"/>
    <s v="JABÓN ANTIBACTERIAL CONCENTRACIÓN MINIMA DEL 6%"/>
    <n v="2400"/>
    <s v="LITRO"/>
    <n v="7500"/>
    <n v="0"/>
    <n v="18000000"/>
    <x v="5"/>
  </r>
  <r>
    <x v="7"/>
    <s v="CUM26-002"/>
    <s v="LA ADQUISICIÓN DE ELEMENTOS DE PROTECCIÓN PERSONAL, LIMPIEZA Y DESINFECCIÓN,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5-12T00:00:00"/>
    <d v="2020-05-12T00:00:00"/>
    <n v="166018725"/>
    <n v="0"/>
    <s v="INCINERADOS DEL HUILA – INCIHUILA S.A. E.S.P."/>
    <n v="813005241"/>
    <s v="TERMOMETROS DIGITALES INFRARROJO UNIDAD"/>
    <n v="15"/>
    <s v="UNIDAD"/>
    <n v="380000"/>
    <n v="0"/>
    <n v="5700000"/>
    <x v="22"/>
  </r>
  <r>
    <x v="7"/>
    <s v="CUM26-002"/>
    <s v="LA ADQUISICIÓN DE ELEMENTOS DE PROTECCIÓN PERSONAL, LIMPIEZA Y DESINFECCIÓN,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5-12T00:00:00"/>
    <d v="2020-05-12T00:00:00"/>
    <n v="166018725"/>
    <n v="0"/>
    <s v="INCINERADOS DEL HUILA – INCIHUILA S.A. E.S.P."/>
    <n v="813005241"/>
    <s v="LAVAMANOS UNIDAD"/>
    <n v="17"/>
    <s v="UNIDAD"/>
    <n v="2168067.23"/>
    <n v="411932.77370000002"/>
    <n v="43860000.062900007"/>
    <x v="9"/>
  </r>
  <r>
    <x v="7"/>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TAPABOCAS"/>
    <n v="75000"/>
    <s v="UNIDAD"/>
    <n v="1320"/>
    <n v="0"/>
    <n v="99000000"/>
    <x v="3"/>
  </r>
  <r>
    <x v="7"/>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GUANTES"/>
    <n v="265"/>
    <s v="CAJA X 100"/>
    <n v="43000"/>
    <n v="0"/>
    <n v="11395000"/>
    <x v="10"/>
  </r>
  <r>
    <x v="7"/>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TOALLAS PARA MANOS X 150 UNIDADES"/>
    <n v="975"/>
    <s v="PAQUETE"/>
    <n v="6300"/>
    <n v="0"/>
    <n v="6142500"/>
    <x v="8"/>
  </r>
  <r>
    <x v="7"/>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GEL GALON"/>
    <n v="2850"/>
    <s v="LITRO"/>
    <n v="54000"/>
    <n v="0"/>
    <n v="153900000"/>
    <x v="4"/>
  </r>
  <r>
    <x v="7"/>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GEL "/>
    <n v="30"/>
    <s v="LITRO"/>
    <n v="9900"/>
    <n v="0"/>
    <n v="297000"/>
    <x v="4"/>
  </r>
  <r>
    <x v="7"/>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JABÓN ANTIBACTERIAL CONCENTRACIÓN MINIMA DEL 6%"/>
    <n v="2400"/>
    <s v="LITRO"/>
    <n v="6000"/>
    <n v="0"/>
    <n v="14400000"/>
    <x v="5"/>
  </r>
  <r>
    <x v="7"/>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CARETAS"/>
    <n v="1000"/>
    <s v="UNIDAD"/>
    <n v="8300"/>
    <n v="0"/>
    <n v="8300000"/>
    <x v="11"/>
  </r>
  <r>
    <x v="7"/>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BIDON - GALON"/>
    <n v="50"/>
    <s v="UNIDAD"/>
    <n v="8000"/>
    <n v="0"/>
    <n v="400000"/>
    <x v="43"/>
  </r>
  <r>
    <x v="7"/>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PAPELERA ROTULADA"/>
    <n v="150"/>
    <s v="UNIDAD"/>
    <n v="22000"/>
    <n v="0"/>
    <n v="3300000"/>
    <x v="15"/>
  </r>
  <r>
    <x v="7"/>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BOLSA"/>
    <n v="200"/>
    <s v="PAQUETE X 100"/>
    <n v="17500"/>
    <n v="0"/>
    <n v="3500000"/>
    <x v="37"/>
  </r>
  <r>
    <x v="7"/>
    <s v="003 DE 2020"/>
    <s v="LA ADQUISICIÓN DE ELEMENTOS DE PROTECCIÓN PERSONAL, LIMPIEZA, DESINFECCIÓN Y DEMÁS INSUMOS, PARA  PREVENIR EL CONTAGIO Y EVITAR LA PROPAGACIÓN DE LA ENFERMEDAD CORONAVIRUS COVID-19, DE Y ENTRE LOS SERVIDORES JUDICIALES, CONTRATISTAS DE PRESTACIÓN DE SERVICIOS Y JUDICANTES QUE DESEMPEÑAN SUS FUNCIONES EN LAS DIFERENTES SEDES QUE CONFORMAN EL DISTRITO JUDICIAL DE IBAGUÉ- TOLIMA, EN ATENCIÓN A LA DECLARATORIA DE URGENCIA MANIFIESTA REALIZADA POR EL CONSEJO SUPERIOR DE LA JUDICATURA "/>
    <d v="2020-07-03T00:00:00"/>
    <d v="2020-07-06T00:00:00"/>
    <n v="201000100"/>
    <n v="0"/>
    <s v="INCINERADOS DEL HUILA – INCIHUILA S.A. E.S.P."/>
    <n v="813005241"/>
    <s v="DISPENSADORES"/>
    <n v="48"/>
    <s v="UNIDAD"/>
    <n v="43200"/>
    <n v="0"/>
    <n v="2073600"/>
    <x v="12"/>
  </r>
  <r>
    <x v="7"/>
    <s v="CON26-003 DE 2020"/>
    <s v="CONTRATAR EN NOMBRE DE LA NACIÓN — CONSEJO SUPERIOR DE LA JUDICATURA — DIRECCIÓN SECCIONAL DE ADMINISTRACIÓN JUDICIAL DE LLAGUÉ TOLIMA, LA PRESTACIÓN DEL SERVICIO DE VIGÍAS DE LA SALUD PARA LOS PALACIOS DE JUSTICIA DE ESTE DISTRITO JUDICIAL Y EN LAS SEDES ALTERNAS EN LA CIUDAD DE IBAGUÉ, PARA LA PREVENCIÓN DEL CONTAGIO Y PROPAGACIÓN DEL COVID-19"/>
    <d v="2020-06-23T00:00:00"/>
    <d v="2020-06-24T00:00:00"/>
    <n v="83500000"/>
    <n v="0"/>
    <s v="CRUZ ROJA COLOMBIANA - SECCIONAL TOLIMA"/>
    <n v="890701338"/>
    <s v="PERSONAL QUE CUMPLA FUNCIONES DE VIGIAS DE SALUD (3 MESES)"/>
    <n v="13"/>
    <s v="VALOR MENSUAL POR PERSONA"/>
    <n v="2141025.6153846155"/>
    <n v="0"/>
    <n v="83499999"/>
    <x v="6"/>
  </r>
  <r>
    <x v="7"/>
    <s v="CON26-007 DE 2020"/>
    <s v="CONTRATAR EN NOMBRE DE LA NACIÓN — CONSEJO SUPERIOR DE LA JUDICATURA — DIRECCIÓN SECCIONAL DE ADMINISTRACIÓN JUDICIAL DE LLAGUÉ TOLIMA, LA PRESTACIÓN DEL SERVICIO DE VIGÍAS DE LA SALUD PARA LOS PALACIOS DE JUSTICIA DE ESTE DISTRITO JUDICIAL Y EN LAS SEDES ALTERNAS EN LA CIUDAD DE IBAGUÉ, PARA LA PREVENCIÓN DEL CONTAGIO Y PROPAGACIÓN DEL COVID-19"/>
    <d v="2020-09-24T00:00:00"/>
    <d v="2020-09-25T00:00:00"/>
    <n v="89066667"/>
    <n v="0"/>
    <s v="CRUZ ROJA COLOMBIANA - SECCIONAL TOLIMA"/>
    <n v="890701338"/>
    <s v="PERSONAL QUE CUMPLA FUNCIONES DE VIGIAS DE SALUD (96 DÍAS)"/>
    <n v="13"/>
    <s v="VALOR MENSUAL POR PERSONA"/>
    <n v="2141025.6153846155"/>
    <n v="0"/>
    <n v="89066665.600000009"/>
    <x v="6"/>
  </r>
  <r>
    <x v="7"/>
    <s v="58658"/>
    <s v="CONTRATAR EN NOMBRE DE LA NACIÓN – CSJ-DSAJ, LA ADQUISICIÓN DE ELEMENTOS DE PROTECCIÓN PERSONAL, LIMPIEZA Y DESINFECCIÓN, PARA PREVENIR EL CONTAGIO Y EVITAR LA PROPAGACIÓN DE LA ENFERMEDAD CORONAVIRUS COVID-19"/>
    <d v="2020-11-26T00:00:00"/>
    <d v="2020-11-26T00:00:00"/>
    <n v="29330000"/>
    <n v="0"/>
    <s v="MEMCO SAS"/>
    <n v="900454322"/>
    <s v="TAPABOCA QUIRURIGICO INDUSTRIAL 2 BANDAS"/>
    <n v="3000"/>
    <s v="UNIDAD"/>
    <n v="9500"/>
    <n v="0"/>
    <n v="28500000"/>
    <x v="3"/>
  </r>
  <r>
    <x v="7"/>
    <s v="59659"/>
    <s v="CONTRATAR EN NOMBRE DE LA NACIÓN – CSJ-DSAJ, LA ADQUISICIÓN DE ELEMENTOS DE PROTECCIÓN PERSONAL, LIMPIEZA Y DESINFECCIÓN, PARA PREVENIR EL CONTAGIO Y EVITAR LA PROPAGACIÓN DE LA ENFERMEDAD CORONAVIRUS COVID-19"/>
    <d v="2020-11-26T00:00:00"/>
    <d v="2020-11-26T00:00:00"/>
    <n v="2400000"/>
    <n v="0"/>
    <s v="PROCTECH TECNOLOGIA EN PROTECCION S.A.S."/>
    <n v="900907931"/>
    <s v="CARETAS"/>
    <n v="1200"/>
    <s v="UNIDAD"/>
    <n v="2000"/>
    <n v="0"/>
    <n v="2400000"/>
    <x v="11"/>
  </r>
  <r>
    <x v="7"/>
    <s v="59450"/>
    <s v="CONTRATAR EN NOMBRE DE LA NACIÓN – CSJ-DSAJ, LA ADQUISICIÓN DE ELEMENTOS DE PROTECCIÓN PERSONAL, LIMPIEZA Y DESINFECCIÓN, PARA PREVENIR EL CONTAGIO Y EVITAR LA PROPAGACIÓN DE LA ENFERMEDAD CORONAVIRUS COVID-19"/>
    <d v="2020-11-24T00:00:00"/>
    <d v="2020-11-24T00:00:00"/>
    <n v="38115250"/>
    <n v="0"/>
    <s v="SUMIMAS S.A.S."/>
    <n v="830001338"/>
    <s v="TOALLAS PARA MANOS X 150 UNIDADES"/>
    <n v="10000"/>
    <s v="PAQUETE"/>
    <n v="2561"/>
    <n v="486.59000000000003"/>
    <n v="30475900"/>
    <x v="8"/>
  </r>
  <r>
    <x v="7"/>
    <s v="59450"/>
    <s v="CONTRATAR EN NOMBRE DE LA NACIÓN – CSJ-DSAJ, LA ADQUISICIÓN DE ELEMENTOS DE PROTECCIÓN PERSONAL, LIMPIEZA Y DESINFECCIÓN, PARA PREVENIR EL CONTAGIO Y EVITAR LA PROPAGACIÓN DE LA ENFERMEDAD CORONAVIRUS COVID-19"/>
    <d v="2020-11-24T00:00:00"/>
    <d v="2020-11-24T00:00:00"/>
    <n v="38115250"/>
    <n v="0"/>
    <s v="SUMIMAS S.A.S."/>
    <n v="830001338"/>
    <s v="GEL ANTIBACTERIAL CONCENTRACIÓN MINIMA DEL 60%"/>
    <n v="360"/>
    <s v="LITRO"/>
    <n v="3190.6666666666665"/>
    <n v="0"/>
    <n v="1148640"/>
    <x v="4"/>
  </r>
  <r>
    <x v="7"/>
    <s v="59450"/>
    <s v="CONTRATAR EN NOMBRE DE LA NACIÓN – CSJ-DSAJ, LA ADQUISICIÓN DE ELEMENTOS DE PROTECCIÓN PERSONAL, LIMPIEZA Y DESINFECCIÓN, PARA PREVENIR EL CONTAGIO Y EVITAR LA PROPAGACIÓN DE LA ENFERMEDAD CORONAVIRUS COVID-19"/>
    <d v="2020-11-24T00:00:00"/>
    <d v="2020-11-24T00:00:00"/>
    <n v="38115250"/>
    <n v="0"/>
    <s v="SUMIMAS S.A.S."/>
    <n v="830001338"/>
    <s v="JABÓN ANTIBACTERIAL CONCENTRACIÓN MINIMA DEL 6%"/>
    <n v="3037.5"/>
    <s v="LITRO"/>
    <n v="1544.2666666666667"/>
    <n v="0"/>
    <n v="4690710"/>
    <x v="5"/>
  </r>
  <r>
    <x v="7"/>
    <s v="59448"/>
    <s v="CONTRATAR EN NOMBRE DE LA NACIÓN – CSJ-DSAJ, LA ADQUISICIÓN DE ELEMENTOS DE PROTECCIÓN PERSONAL, LIMPIEZA Y DESINFECCIÓN, PARA PREVENIR EL CONTAGIO Y EVITAR LA PROPAGACIÓN DE LA ENFERMEDAD CORONAVIRUS COVID-19"/>
    <d v="2020-11-24T00:00:00"/>
    <d v="2020-11-24T00:00:00"/>
    <n v="2242730"/>
    <n v="0"/>
    <s v="INDUHOTEL SAS"/>
    <n v="900300970"/>
    <s v="LAVAMANOS UNIDAD"/>
    <n v="3"/>
    <s v="UNIDAD"/>
    <n v="589000"/>
    <n v="111910"/>
    <n v="2102730"/>
    <x v="9"/>
  </r>
  <r>
    <x v="7"/>
    <s v="59449"/>
    <s v="CONTRATAR EN NOMBRE DE LA NACIÓN – CSJ-DSAJ, LA ADQUISICIÓN DE ELEMENTOS DE PROTECCIÓN PERSONAL, LIMPIEZA Y DESINFECCIÓN, PARA PREVENIR EL CONTAGIO Y EVITAR LA PROPAGACIÓN DE LA ENFERMEDAD CORONAVIRUS COVID-19"/>
    <d v="2020-11-24T00:00:00"/>
    <d v="2020-11-24T00:00:00"/>
    <n v="18333600"/>
    <n v="0"/>
    <s v="INDUSTRIAS QUIMICAS Y MANTENIMIENTO QUIMANT S.A.S."/>
    <n v="830108770"/>
    <s v="ALCOHOL"/>
    <n v="4500"/>
    <s v="LITRO"/>
    <n v="3413.3333333333335"/>
    <n v="0"/>
    <n v="15360000"/>
    <x v="26"/>
  </r>
  <r>
    <x v="7"/>
    <s v="59452"/>
    <s v="CONTRATAR EN NOMBRE DE LA NACIÓN – CSJ-DSAJ, LA ADQUISICIÓN DE ELEMENTOS DE PROTECCIÓN PERSONAL, LIMPIEZA Y DESINFECCIÓN, PARA PREVENIR EL CONTAGIO Y EVITAR LA PROPAGACIÓN DE LA ENFERMEDAD CORONAVIRUS COVID-19"/>
    <d v="2020-11-24T00:00:00"/>
    <d v="2020-11-24T00:00:00"/>
    <n v="2187000"/>
    <n v="0"/>
    <s v="MARCELA ALEXANDRA MESA"/>
    <n v="52223268"/>
    <s v="TERMOMETROS DIGITALES INFRARROJO UNIDAD"/>
    <n v="55"/>
    <s v="UNIDAD"/>
    <n v="37200"/>
    <n v="0"/>
    <n v="2046000"/>
    <x v="22"/>
  </r>
  <r>
    <x v="8"/>
    <s v="CE-06-2020"/>
    <s v="SUMINISTRO TRAJES DE BIOSEGURIDAD PERSONAL."/>
    <d v="2020-03-20T00:00:00"/>
    <d v="2020-03-20T00:00:00"/>
    <n v="3689000"/>
    <n v="0"/>
    <s v="TECHNICAL SOLUTIONS SAFETY S.A.S."/>
    <n v="901095058"/>
    <s v="TRAJE DE PROTECCIÓN CORPORAL MARCA KIMBERLY, PROTECCIÓN CONTRA SALPICADURAS Y PARTICULAS, SON LOS TRAJES DE USO LIMITADO, IDEALES PARA PROTEGER A LAS PERSONAS CON UN EXCELENTE NIVEL DE RESPIRABILIDAD, DE LA NO PENETRACIÓN DE SALPICADURAS DE LÍQUIDOS NO PELIGROSOS (QUIMÍCOS ) Y PARTÍCULAS AL CUERPO DEL USUARIO. TALLAS DISPONIBLES L Y XL "/>
    <n v="200"/>
    <s v="UNIDAD"/>
    <n v="15500"/>
    <n v="2945"/>
    <n v="3689000"/>
    <x v="0"/>
  </r>
  <r>
    <x v="8"/>
    <s v="CE-07-2020"/>
    <s v="SUMINISTRO DE ELEMENTOS DE PROTECCIÓN (GUANTES Y TAPABOCAS)"/>
    <d v="2020-03-20T00:00:00"/>
    <d v="2020-03-20T00:00:00"/>
    <n v="9496200"/>
    <n v="0"/>
    <s v="CALDAS MEDICAS S.A.S."/>
    <n v="890806147"/>
    <s v="GUANTES DESECHABLES LATEX CAJA X 100 UND. MARCA EXAMTEX. TALLA M"/>
    <n v="80"/>
    <s v="CAJA X 100"/>
    <n v="15000"/>
    <n v="2850"/>
    <n v="1428000"/>
    <x v="24"/>
  </r>
  <r>
    <x v="8"/>
    <s v="CE-07-2020"/>
    <s v="SUMINISTRO DE ELEMENTOS DE PROTECCIÓN (GUANTES Y TAPABOCAS)"/>
    <d v="2020-03-20T00:00:00"/>
    <d v="2020-03-20T00:00:00"/>
    <n v="9496200"/>
    <n v="0"/>
    <s v="CALDAS MEDICAS S.A.S."/>
    <n v="890806147"/>
    <s v="GUANTES DESECHABLES LATEX CAJA X 100 UND. MARCA EXAMTEX. TALLA L"/>
    <n v="116"/>
    <s v="CAJA X 100"/>
    <n v="15000"/>
    <n v="2850"/>
    <n v="2070600"/>
    <x v="24"/>
  </r>
  <r>
    <x v="8"/>
    <s v="CE-07-2020"/>
    <s v="SUMINISTRO DE ELEMENTOS DE PROTECCIÓN (GUANTES Y TAPABOCAS)"/>
    <d v="2020-03-20T00:00:00"/>
    <d v="2020-03-20T00:00:00"/>
    <n v="9496200"/>
    <n v="0"/>
    <s v="CALDAS MEDICAS S.A.S."/>
    <n v="890806147"/>
    <s v="TAPABOCAS DESECHABLES MARCA CALMEDIC"/>
    <n v="7150"/>
    <s v="UNIDAD"/>
    <n v="600"/>
    <n v="114"/>
    <n v="5105100"/>
    <x v="3"/>
  </r>
  <r>
    <x v="8"/>
    <s v="CE-07-2020"/>
    <s v="SUMINISTRO DE ELEMENTOS DE PROTECCIÓN (GUANTES Y TAPABOCAS)"/>
    <d v="2020-03-20T00:00:00"/>
    <d v="2020-03-20T00:00:00"/>
    <n v="9496200"/>
    <n v="0"/>
    <s v="CALDAS MEDICAS S.A.S."/>
    <n v="890806147"/>
    <s v="TAPABOCAS N95 CON FILTRO DE CARBONO (BOLSA INDIVIDUAL). MARCA ZUBI OLA"/>
    <n v="30"/>
    <s v="UNIDAD"/>
    <n v="25000"/>
    <n v="4750"/>
    <n v="892500"/>
    <x v="3"/>
  </r>
  <r>
    <x v="8"/>
    <s v="CE-08-2020"/>
    <s v="SUMINISTRO TRAJES DE BIOSEGURIDAD PERSONAL CHEMMAX1 (REUTILIZABLE)"/>
    <d v="2020-04-02T00:00:00"/>
    <d v="2020-04-02T00:00:00"/>
    <n v="4307800"/>
    <n v="0"/>
    <s v="TECHNICAL SOLUTIONS SAFETY S.A.S."/>
    <n v="901095058"/>
    <s v="CHEMMAX 1 CONFECCIONADO EN BASE A UN SUSTRATO DE POLIPROPILENO LAMINADO CON UNA RESINA DE POLIETILENO DE ALTA DENSIDAD, ESTE POLÍMERO LAMINADO OFRECE EFECTIVA BARRERA CONTRA UNA GRAN GAMA DE SUSTANCIAS QUÍMICAS. CUMPLE CON LOS REQUERIMIENTOS ANT"/>
    <n v="100"/>
    <s v="UNIDAD"/>
    <n v="35000"/>
    <n v="6650"/>
    <n v="4165000"/>
    <x v="0"/>
  </r>
  <r>
    <x v="8"/>
    <s v="CE-10-2020"/>
    <s v="SUMINISTRO DE INSUMOS DE DESINFECCIÓN PARA LOS SERVIDORES JUDICIALES DEL DISTRITO JUDICIAL (GEL ANTIBACTERIAL Y ALCOHOL)"/>
    <d v="2020-04-08T00:00:00"/>
    <d v="2020-04-08T00:00:00"/>
    <n v="6125000"/>
    <n v="0"/>
    <s v="CAROLINA CEBALLOS ECHEVERRY - DULCE AROMA"/>
    <n v="1053782604"/>
    <s v="GEL ANTIBACTERIAL "/>
    <n v="175"/>
    <s v="LITRO"/>
    <n v="15000"/>
    <n v="0"/>
    <n v="2625000"/>
    <x v="4"/>
  </r>
  <r>
    <x v="8"/>
    <s v="CE-10-2020"/>
    <s v="SUMINISTRO DE INSUMOS DE DESINFECCIÓN PARA LOS SERVIDORES JUDICIALES DEL DISTRITO JUDICIAL (GEL ANTIBACTERIAL Y ALCOHOL)"/>
    <d v="2020-04-08T00:00:00"/>
    <d v="2020-04-08T00:00:00"/>
    <n v="6125000"/>
    <n v="0"/>
    <s v="CAROLINA CEBALLOS ECHEVERRY - DULCE AROMA"/>
    <n v="1053782604"/>
    <s v="ALCOHOL"/>
    <n v="225"/>
    <s v="LITRO"/>
    <n v="14000"/>
    <n v="0"/>
    <n v="3150000"/>
    <x v="26"/>
  </r>
  <r>
    <x v="8"/>
    <s v="CE-10-2020"/>
    <s v="SUMINISTRO DE INSUMOS DE DESINFECCIÓN PARA LOS SERVIDORES JUDICIALES DEL DISTRITO JUDICIAL (GEL ANTIBACTERIAL Y ALCOHOL)"/>
    <d v="2020-04-08T00:00:00"/>
    <d v="2020-04-08T00:00:00"/>
    <n v="6125000"/>
    <n v="0"/>
    <s v="CAROLINA CEBALLOS ECHEVERRY - DULCE AROMA"/>
    <n v="1053782604"/>
    <s v="ALCOHOL"/>
    <n v="26.1"/>
    <s v="LITRO"/>
    <n v="13409.961685823753"/>
    <n v="0"/>
    <n v="350000"/>
    <x v="26"/>
  </r>
  <r>
    <x v="8"/>
    <s v="CE-11-2020"/>
    <s v="SUMINISTRO DE TAPABOCAS LAVABLES PARA LOS SERVIDORES JUDICIALES DEL DISTRITO JUDICIAL."/>
    <d v="2020-04-08T00:00:00"/>
    <d v="2020-04-08T00:00:00"/>
    <n v="6799660"/>
    <n v="0"/>
    <s v="COLOR SIETE S.A.S"/>
    <n v="810001350"/>
    <s v="TAPABOCAS LAVABLE Y REUTILIZABLE EN TELA ANTIFLUIDO CON CUBIERTA REPELENTE."/>
    <n v="2000"/>
    <s v="UNIDAD"/>
    <n v="2857"/>
    <n v="542.83000000000004"/>
    <n v="6799660"/>
    <x v="3"/>
  </r>
  <r>
    <x v="8"/>
    <s v="CE-12-2020"/>
    <s v="SERVICIO DE DESINFECCIÓN DE ALGUNAS SEDES JUDICIALES DEL DISTRITO"/>
    <d v="2020-04-08T00:00:00"/>
    <d v="2020-04-08T00:00:00"/>
    <n v="15232000"/>
    <n v="0"/>
    <s v="MARÍA RUTH DÍAZ DUQUE  - ALSERVICIO RT"/>
    <n v="24319928"/>
    <s v="DESINFECCIÓN SEDE JUDICIAL DE VILLAMARIA (231 M2)"/>
    <n v="2"/>
    <s v="SEDE"/>
    <n v="500000"/>
    <n v="95000"/>
    <n v="1190000"/>
    <x v="39"/>
  </r>
  <r>
    <x v="8"/>
    <s v="CE-12-2020"/>
    <s v="SERVICIO DE DESINFECCIÓN DE ALGUNAS SEDES JUDICIALES DEL DISTRITO"/>
    <d v="2020-04-08T00:00:00"/>
    <d v="2020-04-08T00:00:00"/>
    <n v="15232000"/>
    <n v="0"/>
    <s v="MARÍA RUTH DÍAZ DUQUE  - ALSERVICIO RT"/>
    <n v="24319928"/>
    <s v="DESINFECCIÓN SEDE JUDICIAL DE CHINCHINA: 2 PISOS (1200 M2)"/>
    <n v="2"/>
    <s v="SEDE"/>
    <n v="600000"/>
    <n v="114000"/>
    <n v="1428000"/>
    <x v="39"/>
  </r>
  <r>
    <x v="8"/>
    <s v="CE-12-2020"/>
    <s v="SERVICIO DE DESINFECCIÓN DE ALGUNAS SEDES JUDICIALES DEL DISTRITO"/>
    <d v="2020-04-08T00:00:00"/>
    <d v="2020-04-08T00:00:00"/>
    <n v="15232000"/>
    <n v="0"/>
    <s v="MARÍA RUTH DÍAZ DUQUE  - ALSERVICIO RT"/>
    <n v="24319928"/>
    <s v="DESINFECCIÓN SEDE JUDICIAL DE ANSERMA: 3 PISOS (580 M2)"/>
    <n v="2"/>
    <s v="SEDE"/>
    <n v="550000"/>
    <n v="104500"/>
    <n v="1309000"/>
    <x v="39"/>
  </r>
  <r>
    <x v="8"/>
    <s v="CE-12-2020"/>
    <s v="SERVICIO DE DESINFECCIÓN DE ALGUNAS SEDES JUDICIALES DEL DISTRITO"/>
    <d v="2020-04-08T00:00:00"/>
    <d v="2020-04-08T00:00:00"/>
    <n v="15232000"/>
    <n v="0"/>
    <s v="MARÍA RUTH DÍAZ DUQUE  - ALSERVICIO RT"/>
    <n v="24319928"/>
    <s v="DESINFECCIÓN SEDE JUDICIAL DE RIOSUCIO: 2 PISOS (1956 M2)"/>
    <n v="2"/>
    <s v="SEDE"/>
    <n v="650000"/>
    <n v="123500"/>
    <n v="1547000"/>
    <x v="39"/>
  </r>
  <r>
    <x v="8"/>
    <s v="CE-12-2020"/>
    <s v="SERVICIO DE DESINFECCIÓN DE ALGUNAS SEDES JUDICIALES DEL DISTRITO"/>
    <d v="2020-04-08T00:00:00"/>
    <d v="2020-04-08T00:00:00"/>
    <n v="15232000"/>
    <n v="0"/>
    <s v="MARÍA RUTH DÍAZ DUQUE  - ALSERVICIO RT"/>
    <n v="24319928"/>
    <s v="DESINFECCIÓN SEDE JUDICIAL DE SALAMINA: 2 PISOS (1450 M2)"/>
    <n v="2"/>
    <s v="SEDE"/>
    <n v="600000"/>
    <n v="114000"/>
    <n v="1428000"/>
    <x v="39"/>
  </r>
  <r>
    <x v="8"/>
    <s v="CE-12-2020"/>
    <s v="SERVICIO DE DESINFECCIÓN DE ALGUNAS SEDES JUDICIALES DEL DISTRITO"/>
    <d v="2020-04-08T00:00:00"/>
    <d v="2020-04-08T00:00:00"/>
    <n v="15232000"/>
    <n v="0"/>
    <s v="MARÍA RUTH DÍAZ DUQUE  - ALSERVICIO RT"/>
    <n v="24319928"/>
    <s v="DESINFECCIÓN SEDE JUDICIAL DE AGUADAS: 2 PISOS (481 M2)"/>
    <n v="2"/>
    <s v="SEDE"/>
    <n v="550000"/>
    <n v="104500"/>
    <n v="1309000"/>
    <x v="39"/>
  </r>
  <r>
    <x v="8"/>
    <s v="CE-12-2020"/>
    <s v="SERVICIO DE DESINFECCIÓN DE ALGUNAS SEDES JUDICIALES DEL DISTRITO"/>
    <d v="2020-04-08T00:00:00"/>
    <d v="2020-04-08T00:00:00"/>
    <n v="15232000"/>
    <n v="0"/>
    <s v="MARÍA RUTH DÍAZ DUQUE  - ALSERVICIO RT"/>
    <n v="24319928"/>
    <s v="DESINFECCIÓN SEDE JUDICIAL DE MANZANARES: 2 PISOS (403 M2)"/>
    <n v="2"/>
    <s v="SEDE"/>
    <n v="500000"/>
    <n v="95000"/>
    <n v="1190000"/>
    <x v="39"/>
  </r>
  <r>
    <x v="8"/>
    <s v="CE-12-2020"/>
    <s v="SERVICIO DE DESINFECCIÓN DE ALGUNAS SEDES JUDICIALES DEL DISTRITO"/>
    <d v="2020-04-08T00:00:00"/>
    <d v="2020-04-08T00:00:00"/>
    <n v="15232000"/>
    <n v="0"/>
    <s v="MARÍA RUTH DÍAZ DUQUE  - ALSERVICIO RT"/>
    <n v="24319928"/>
    <s v="DESINFECCIÓN SEDE JUDICIAL DE PENSILVANIA: 1 PISO (356 M2)"/>
    <n v="2"/>
    <s v="SEDE"/>
    <n v="500000"/>
    <n v="95000"/>
    <n v="1190000"/>
    <x v="39"/>
  </r>
  <r>
    <x v="8"/>
    <s v="CE-12-2020"/>
    <s v="SERVICIO DE DESINFECCIÓN DE ALGUNAS SEDES JUDICIALES DEL DISTRITO"/>
    <d v="2020-04-08T00:00:00"/>
    <d v="2020-04-08T00:00:00"/>
    <n v="15232000"/>
    <n v="0"/>
    <s v="MARÍA RUTH DÍAZ DUQUE  - ALSERVICIO RT"/>
    <n v="24319928"/>
    <s v="DESINFECCIÓN SEDE JUDICIAL DE LA DORADA: 3 PISOS (3100 M2)"/>
    <n v="2"/>
    <s v="SEDE"/>
    <n v="800000"/>
    <n v="152000"/>
    <n v="1904000"/>
    <x v="39"/>
  </r>
  <r>
    <x v="8"/>
    <s v="CE-12-2020"/>
    <s v="SERVICIO DE DESINFECCIÓN DE ALGUNAS SEDES JUDICIALES DEL DISTRITO"/>
    <d v="2020-04-08T00:00:00"/>
    <d v="2020-04-08T00:00:00"/>
    <n v="15232000"/>
    <n v="0"/>
    <s v="MARÍA RUTH DÍAZ DUQUE  - ALSERVICIO RT"/>
    <n v="24319928"/>
    <s v="DESINFECCIÓN SEDE JUDICIAL DE PUERTO BOYACÁ: 3 PISOS (1641 M2)"/>
    <n v="2"/>
    <s v="SEDE"/>
    <n v="650000"/>
    <n v="123500"/>
    <n v="1547000"/>
    <x v="39"/>
  </r>
  <r>
    <x v="8"/>
    <s v="CE-12-2020"/>
    <s v="SERVICIO DE DESINFECCIÓN DE ALGUNAS SEDES JUDICIALES DEL DISTRITO"/>
    <d v="2020-04-08T00:00:00"/>
    <d v="2020-04-08T00:00:00"/>
    <n v="15232000"/>
    <n v="0"/>
    <s v="MARÍA RUTH DÍAZ DUQUE  - ALSERVICIO RT"/>
    <n v="24319928"/>
    <s v="DESINFECCIÓN SEDE JUDICIAL DE VITERBO (279 M2)"/>
    <n v="2"/>
    <s v="SEDE"/>
    <n v="500000"/>
    <n v="95000"/>
    <n v="1190000"/>
    <x v="39"/>
  </r>
  <r>
    <x v="8"/>
    <s v="CE-12-2020"/>
    <s v="SERVICIO DE DESINFECCIÓN DE ALGUNAS SEDES JUDICIALES DEL DISTRITO"/>
    <d v="2020-04-08T00:00:00"/>
    <d v="2020-04-08T00:00:00"/>
    <n v="15232000"/>
    <n v="7616000"/>
    <s v="MARÍA RUTH DÍAZ DUQUE  - ALSERVICIO RT"/>
    <n v="24319928"/>
    <s v="DESINFECCIÓN SEDE JUDICIAL PALACIO DE JUSTICIA"/>
    <n v="2"/>
    <s v="SEDE"/>
    <n v="650000"/>
    <n v="123500"/>
    <n v="1547000"/>
    <x v="39"/>
  </r>
  <r>
    <x v="8"/>
    <s v="CE-12-2020"/>
    <s v="SERVICIO DE DESINFECCIÓN DE ALGUNAS SEDES JUDICIALES DEL DISTRITO"/>
    <d v="2020-04-08T00:00:00"/>
    <d v="2020-04-08T00:00:00"/>
    <n v="15232000"/>
    <n v="7616000"/>
    <s v="MARÍA RUTH DÍAZ DUQUE  - ALSERVICIO RT"/>
    <n v="24319928"/>
    <s v="DESINFECCIÓN EDIFICIO DIRECCION SECCIONAL Y JUZGADOS PENALES"/>
    <n v="2"/>
    <s v="SEDE"/>
    <n v="650000"/>
    <n v="123500"/>
    <n v="1547000"/>
    <x v="39"/>
  </r>
  <r>
    <x v="8"/>
    <s v="CE-12-2020"/>
    <s v="SERVICIO DE DESINFECCIÓN DE ALGUNAS SEDES JUDICIALES DEL DISTRITO"/>
    <d v="2020-04-08T00:00:00"/>
    <d v="2020-04-08T00:00:00"/>
    <n v="15232000"/>
    <n v="7616000"/>
    <s v="MARÍA RUTH DÍAZ DUQUE  - ALSERVICIO RT"/>
    <n v="24319928"/>
    <s v="DESINFECCIÓN SEDE JUDICIAL VILLAMARIA"/>
    <n v="2"/>
    <s v="SEDE"/>
    <n v="500000"/>
    <n v="95000"/>
    <n v="1190000"/>
    <x v="39"/>
  </r>
  <r>
    <x v="8"/>
    <s v="CE-12-2020"/>
    <s v="SERVICIO DE DESINFECCIÓN DE ALGUNAS SEDES JUDICIALES DEL DISTRITO"/>
    <d v="2020-04-08T00:00:00"/>
    <d v="2020-04-08T00:00:00"/>
    <n v="15232000"/>
    <n v="7616000"/>
    <s v="MARÍA RUTH DÍAZ DUQUE  - ALSERVICIO RT"/>
    <n v="24319928"/>
    <s v="DESINFECCIÓN SEDE JUDICIAL CHINCHINA"/>
    <n v="2"/>
    <s v="SEDE"/>
    <n v="600000"/>
    <n v="114000"/>
    <n v="1428000"/>
    <x v="39"/>
  </r>
  <r>
    <x v="8"/>
    <s v="CE-12-2020"/>
    <s v="SERVICIO DE DESINFECCIÓN DE ALGUNAS SEDES JUDICIALES DEL DISTRITO"/>
    <d v="2020-04-08T00:00:00"/>
    <d v="2020-04-08T00:00:00"/>
    <n v="15232000"/>
    <n v="7616000"/>
    <s v="MARÍA RUTH DÍAZ DUQUE  - ALSERVICIO RT"/>
    <n v="24319928"/>
    <s v="DESINFECCIÓN SEDE JUDICIAL LA DORADA"/>
    <n v="2"/>
    <s v="SEDE"/>
    <n v="800000"/>
    <n v="152000"/>
    <n v="1904000"/>
    <x v="39"/>
  </r>
  <r>
    <x v="8"/>
    <s v="ORDEN DE COMPRA 48963"/>
    <s v="GUANTES DE NITRILO 30 CAJAS X 100"/>
    <d v="2020-05-21T00:00:00"/>
    <d v="2020-05-21T00:00:00"/>
    <n v="1760000"/>
    <n v="0"/>
    <s v="FELIPE MONDRAGON DUQUE "/>
    <n v="94409574"/>
    <s v="GUANTES DE NITRILO 30 CAJAS X 100"/>
    <n v="30"/>
    <s v="CAJA X 100"/>
    <n v="54000"/>
    <n v="0"/>
    <n v="1620000"/>
    <x v="10"/>
  </r>
  <r>
    <x v="8"/>
    <s v="CE-016-2020"/>
    <s v="LAVAMANOS PORTÁTILES EN ACERO INOXIDABLE: 13 UNIDADES"/>
    <d v="2020-05-27T00:00:00"/>
    <d v="2020-05-27T00:00:00"/>
    <n v="17372810"/>
    <n v="0"/>
    <s v="PROYECTOS INSTITUCIONALES DE COLOMBIA S.A.S"/>
    <n v="900990752"/>
    <s v="LAVAMANOS PORTÁTILES EN ACERO INOXIDABLE: 13 UNIDADES"/>
    <n v="13"/>
    <s v="UNIDAD"/>
    <n v="1123000"/>
    <n v="213370"/>
    <n v="17372810"/>
    <x v="9"/>
  </r>
  <r>
    <x v="8"/>
    <s v="ORDEN DE COMPRA 49475"/>
    <s v="BOTELLAS DE ALCOHOL X 750 CC"/>
    <d v="2020-06-01T00:00:00"/>
    <d v="2020-06-01T00:00:00"/>
    <n v="2900000"/>
    <n v="0"/>
    <s v="SUMIMAS S.A.S"/>
    <n v="830001338"/>
    <s v="BOTELLAS DE ALCOHOL"/>
    <n v="300"/>
    <s v="LITRO"/>
    <n v="8666.6666666666661"/>
    <n v="0"/>
    <n v="2600000"/>
    <x v="26"/>
  </r>
  <r>
    <x v="8"/>
    <s v="ORDEN DE COMPRA 49476"/>
    <s v="GEL ANTIBACTERIAL POR LITRO: 500 UNIDADES"/>
    <d v="2020-06-01T00:00:00"/>
    <d v="2020-06-01T00:00:00"/>
    <n v="7650000"/>
    <n v="0"/>
    <s v="FELIPE MONDRAGON DUQUE "/>
    <n v="94409574"/>
    <s v="GEL ANTIBACTERIAL POR LITRO: 500 UNIDADES"/>
    <n v="500"/>
    <s v="LITRO"/>
    <n v="12700"/>
    <n v="0"/>
    <n v="6350000"/>
    <x v="4"/>
  </r>
  <r>
    <x v="8"/>
    <s v="ORDEN DE COMPRA 49600"/>
    <s v="TOALLAS DESECHABLES PARA MANOS ROLLOS DE 100 METROS: 1000 ROLLOS."/>
    <d v="2020-06-01T00:00:00"/>
    <d v="2020-06-01T00:00:00"/>
    <n v="12695000"/>
    <n v="0"/>
    <s v="JM GRUPO EMPRESARIAL S.A.S "/>
    <n v="900353659"/>
    <s v="TOALLAS DESECHABLES PARA MANOS ROLLOS DE 100 METROS: 1000 ROLLOS."/>
    <n v="1000"/>
    <s v="ROLLO"/>
    <n v="10500"/>
    <n v="1995"/>
    <n v="12495000"/>
    <x v="8"/>
  </r>
  <r>
    <x v="8"/>
    <s v="CE-034-2019"/>
    <s v="PRESTACIÓN DEL SERVICIO DE ASEO Y LIMPIEZA AL DISTRITO JUDICIAL"/>
    <d v="2020-06-01T00:00:00"/>
    <d v="2020-06-01T00:00:00"/>
    <n v="0"/>
    <n v="18340586"/>
    <s v="BIOSERVICIOS S.A.S."/>
    <n v="810001366"/>
    <s v="PRESTACIÓN DEL SERVICIO DE ASEO Y LIMPIEZA AL DISTRITO JUDICIAL TIEMPO COMPLETO POR 5 MESES"/>
    <n v="2"/>
    <s v="VALOR MENSUAL POR PERSONA"/>
    <n v="1834059"/>
    <n v="0"/>
    <n v="18340590"/>
    <x v="16"/>
  </r>
  <r>
    <x v="8"/>
    <s v="CE-034-2019"/>
    <s v="PRESTACIÓN DEL SERVICIO DE ASEO Y LIMPIEZA AL DISTRITO JUDICIAL"/>
    <d v="2020-06-01T00:00:00"/>
    <d v="2020-06-01T00:00:00"/>
    <n v="0"/>
    <n v="9480267"/>
    <s v="BIOSERVICIOS S.A.S."/>
    <n v="810001366"/>
    <s v="PRESTACIÓN DEL SERVICIO DE ASEO Y LIMPIEZA AL DISTRITO JUDICIAL MEDIO TIEMPO POR 4.5 MESES"/>
    <n v="1"/>
    <s v="VALOR MENSUAL POR PERSONA"/>
    <n v="2106726"/>
    <n v="0"/>
    <n v="9480267"/>
    <x v="16"/>
  </r>
  <r>
    <x v="8"/>
    <s v="CE-034-2019"/>
    <s v="PRESTACIÓN DEL SERVICIO DE ASEO Y LIMPIEZA AL DISTRITO JUDICIAL"/>
    <d v="2020-06-01T00:00:00"/>
    <d v="2020-06-01T00:00:00"/>
    <n v="0"/>
    <n v="43843974"/>
    <s v="BIOSERVICIOS S.A.S."/>
    <n v="810001366"/>
    <s v="PRESTACIÓN DEL SERVICIO DE ASEO Y LIMPIEZA AL DISTRITO JUDICIAL 8 HORAS POR SEMANA POR 4 MESES"/>
    <n v="20"/>
    <s v="VALOR MENSUAL POR PERSONA"/>
    <n v="548050"/>
    <n v="0"/>
    <n v="43844000"/>
    <x v="16"/>
  </r>
  <r>
    <x v="8"/>
    <s v="ORDEN DE COMPRA 49987"/>
    <s v="PAPEL VINIPEL 250 ROLLOS"/>
    <d v="2020-06-05T00:00:00"/>
    <d v="2020-06-05T00:00:00"/>
    <n v="4002050"/>
    <n v="0"/>
    <s v="GRUPO EMPRESARIAL DE ASESORIA"/>
    <n v="9009069703"/>
    <s v="PAPEL VINIPEL 250 ROLLOS"/>
    <n v="225"/>
    <s v="ROLLO"/>
    <n v="14200"/>
    <n v="2698"/>
    <n v="3802050"/>
    <x v="7"/>
  </r>
  <r>
    <x v="8"/>
    <s v="ORDEN DE COMPRA 49988"/>
    <s v="JABÓN DISPENSADOR PARA MANOS LÍQUIDO. 200 GALONES X 3.785 CC"/>
    <d v="2020-06-05T00:00:00"/>
    <d v="2020-06-05T00:00:00"/>
    <n v="4010600"/>
    <n v="0"/>
    <s v="AESTHETIC MEDICAL SOLUTIONS"/>
    <n v="900567130"/>
    <s v="JABÓN DISPENSADOR PARA MANOS LÍQUIDO."/>
    <n v="757"/>
    <s v="LITRO"/>
    <n v="4333.6856010568035"/>
    <n v="0"/>
    <n v="3280600.0000000005"/>
    <x v="5"/>
  </r>
  <r>
    <x v="8"/>
    <s v="ORDEN DE COMPRA 49993"/>
    <s v="JABÓN DISPENSADOR PARA MANOS LÍQUIDO. 300 UNIDADES X 500 CC"/>
    <d v="2020-06-05T00:00:00"/>
    <d v="2020-06-05T00:00:00"/>
    <n v="4040000"/>
    <n v="0"/>
    <s v="OFIBEST S.A.S."/>
    <n v="900350133"/>
    <s v="JABÓN DISPENSADOR PARA MANOS LÍQUIDO."/>
    <n v="150"/>
    <s v="LITRO"/>
    <n v="24800"/>
    <n v="0"/>
    <n v="3720000"/>
    <x v="5"/>
  </r>
  <r>
    <x v="8"/>
    <s v="ORDEN DE COMPRA 49994"/>
    <s v="TOALLAS PARA MANOS INTERDOBLADAS- 500 PAQUETES"/>
    <d v="2020-06-05T00:00:00"/>
    <d v="2020-06-05T00:00:00"/>
    <n v="3490500"/>
    <n v="0"/>
    <s v="PAPER BOX SP S.A.S."/>
    <n v="900791672"/>
    <s v="TOALLAS PARA MANOS INTERDOBLADAS- 500 PAQUETES"/>
    <n v="500"/>
    <s v="PAQUETE"/>
    <n v="4900"/>
    <n v="931"/>
    <n v="2915500"/>
    <x v="8"/>
  </r>
  <r>
    <x v="8"/>
    <s v="ORDEN DE COMPRA 49995"/>
    <s v="CARETAS PROTECTORAS VISUALES. 600 UNIDADES."/>
    <d v="2020-06-05T00:00:00"/>
    <d v="2020-06-05T00:00:00"/>
    <n v="8100000"/>
    <n v="2600000"/>
    <s v="ABBLAPLX S.A.S."/>
    <n v="860062147"/>
    <s v="CARETAS PROTECTORAS VISUALES. 600 UNIDADES."/>
    <n v="800"/>
    <s v="UNIDAD"/>
    <n v="13000"/>
    <n v="0"/>
    <n v="10400000"/>
    <x v="11"/>
  </r>
  <r>
    <x v="8"/>
    <s v="CE-18-2020"/>
    <s v="PRESTACIÓN DE SERVICIOS DE PERSONAL DE APOYO A LA GESTIÓN CON VIGÍAS DE SALUD"/>
    <d v="2020-06-17T00:00:00"/>
    <d v="2020-06-23T00:00:00"/>
    <n v="66538000"/>
    <n v="0"/>
    <s v="CRUZ ROJA COLOMBIANA SECCIONAL CALDA"/>
    <n v="890801201"/>
    <s v="PRESTACIÓN DE SERVICIOS DE PERSONAL DE APOYO A LA GESTIÓN CON VIGÍAS DE SALUD (POR 3 MESES)"/>
    <n v="10"/>
    <s v="VALOR MENSUAL POR PERSONA"/>
    <n v="2217933"/>
    <n v="0"/>
    <n v="66537990"/>
    <x v="6"/>
  </r>
  <r>
    <x v="8"/>
    <s v="ORDEN DE COMPRA 50861"/>
    <s v="ARRENDAMIENTO DE 33 COMPUTADORES PORTÁTILES CON CÁMARA INCORPORADA Y PARLANTES PARA FACILITAR LA REALIZACIÓN DE AUDIENCIAS VIRTUALES CON CONEXIÓN REMOTA."/>
    <d v="2020-06-23T00:00:00"/>
    <d v="2020-06-23T00:00:00"/>
    <n v="16964640"/>
    <n v="0"/>
    <s v="NUEVA ERA SOLUCIONES S.A.S."/>
    <n v="830037278"/>
    <s v="ARRENDAMIENTO DE 33 COMPUTADORES PORTÁTILES CON CÁMARA INCORPORADA Y PARLANTES PARA FACILITAR LA REALIZACIÓN DE AUDIENCIAS VIRTUALES CON CONEXIÓN REMOTA. POR 4 MESES"/>
    <n v="33"/>
    <s v="VALOR MENSUAL POR EQUIPO"/>
    <n v="108000"/>
    <n v="20520"/>
    <n v="16964640"/>
    <x v="32"/>
  </r>
  <r>
    <x v="8"/>
    <s v="ORDEN DE COMPRA 51280"/>
    <s v="ADQUISICIÓN DE SENSORES DE TEMPERATURA PARA ALGUNAS SEDES JUDICIALES DEL DISTRITO, COMO MEDIDAS DE PREVENCIÓN DEL COVID 19."/>
    <d v="2020-06-30T00:00:00"/>
    <d v="2020-06-30T00:00:00"/>
    <n v="780000"/>
    <n v="0"/>
    <s v="COMERCIALIZADORA ORIKUA SAS"/>
    <n v="900724561"/>
    <s v="ADQUISICIÓN DE SENSORES DE TEMPERATURA PARA ALGUNAS SEDES JUDICIALES DEL DISTRITO, COMO MEDIDAS DE PREVENCIÓN DEL COVID 19."/>
    <n v="6"/>
    <s v="UNIDAD"/>
    <n v="130000"/>
    <n v="0"/>
    <n v="780000"/>
    <x v="22"/>
  </r>
  <r>
    <x v="8"/>
    <s v="CE-20-2020"/>
    <s v="ADQUISICIÓN DE DISPENSADORES DE GEL EN ACERO INXIDABLE, PORTÁTILES Y ACCIONABLES CON EL PIE."/>
    <d v="2020-07-06T00:00:00"/>
    <d v="2020-07-08T00:00:00"/>
    <n v="6257500"/>
    <n v="0"/>
    <s v="YESID FERNANDO SUAREZ AVILA/ALLINGENIERIA"/>
    <n v="80748897"/>
    <s v="DISPENSADORES DE GEL EN ACERO INOXIDABLE, PORTÁTILES Y ACCIONABLES CON EL PIE"/>
    <n v="42"/>
    <s v="UNIDAD"/>
    <n v="125000"/>
    <n v="23750"/>
    <n v="6247500"/>
    <x v="12"/>
  </r>
  <r>
    <x v="8"/>
    <s v="CE-22-2020"/>
    <s v="SUMINISTRO DE TAPABOCAS DESECHABLES, COMO PREVENCIÓN DEL CONTAGIO CON EL COVID19"/>
    <d v="2020-07-08T00:00:00"/>
    <d v="2020-07-09T00:00:00"/>
    <n v="4425000"/>
    <n v="1500000"/>
    <s v="AR GLOBAL SERVICE "/>
    <n v="900829708"/>
    <s v="TAPABOCAS DESECHABLES"/>
    <n v="2059"/>
    <s v="UNIDAD"/>
    <n v="750"/>
    <n v="0"/>
    <n v="1544250"/>
    <x v="3"/>
  </r>
  <r>
    <x v="8"/>
    <s v="ORDEN DE COMPRA 52569"/>
    <s v="SUMINISTRO DE DISPENSADORES DE TOALLAS DE PAPEL "/>
    <d v="2020-07-24T00:00:00"/>
    <d v="2020-07-24T00:00:00"/>
    <n v="8400000"/>
    <n v="0"/>
    <s v="PAULO CESAR CARVAJAL &amp; PRODUCTOS_x000a_INSTITUCIONALES"/>
    <n v="10003534"/>
    <s v="DISPENSADORES DE TOALLAS DE PAPEL "/>
    <n v="100"/>
    <s v="UNIDAD"/>
    <n v="72000"/>
    <n v="0"/>
    <n v="7200000"/>
    <x v="12"/>
  </r>
  <r>
    <x v="8"/>
    <s v="ORDEN DE COMPRA 53183"/>
    <s v="CANECAS PARA DEPOSITAR RESIDUOS PELIGROSOS, COMO MEDIDAS DE PREVENCIÓN CONTRA EL COVID 19"/>
    <d v="2020-08-03T00:00:00"/>
    <d v="2020-08-03T00:00:00"/>
    <n v="2310208"/>
    <n v="0"/>
    <s v="PANAMERICANA LIBRERÍA Y PAPELERÍA S.A."/>
    <n v="830037946"/>
    <s v="CANECAS PARA DEPOSITAR RESIDUOS PELIGROSOS, COMO MEDIDAS DE PREVENCIÓN CONTRA EL COVID 19"/>
    <n v="32"/>
    <s v="UNIDAD"/>
    <n v="72194"/>
    <n v="0"/>
    <n v="2310208"/>
    <x v="15"/>
  </r>
  <r>
    <x v="8"/>
    <s v="CE-27-2020"/>
    <s v="SUMINISTRO DE BUZONES DE SUGERENCIAS PARA ALGUNAS SEDES JUDICIALES DEL DISTRITO"/>
    <d v="2020-08-14T00:00:00"/>
    <d v="2020-08-14T00:00:00"/>
    <n v="419998"/>
    <n v="0"/>
    <s v="NEURONA INGENIERIA MÁS DISEÑO S.A.S."/>
    <n v="900207450"/>
    <s v="SUMINISTRO DE BUZONES DE SUGERENCIAS PARA ALGUNAS SEDES JUDICIALES DEL DISTRITO"/>
    <n v="10"/>
    <s v="UNIDAD"/>
    <n v="35294"/>
    <n v="6705.86"/>
    <n v="419998.6"/>
    <x v="44"/>
  </r>
  <r>
    <x v="8"/>
    <s v="CE-28-2020"/>
    <s v="SUMINISTRO DE PANTALLAS DE ACRÍLICO CON EL PROPÓSITO DE FACILITAR EL AISLAMIENTO DE LOS USUARIOS DE LA JUSTICIA Y LOS SERVIDORES JUDICIALES DEL DISTRITO."/>
    <d v="2020-08-21T00:00:00"/>
    <d v="2020-08-25T00:00:00"/>
    <n v="31126711"/>
    <n v="0"/>
    <s v="INMERTEX S.A.S."/>
    <n v="901309333"/>
    <s v="SUMINISTRO DE PANTALLAS DE ACRÍLICO CON EL PROPÓSITO DE FACILITAR EL AISLAMIENTO DE LOS USUARIOS DE LA JUSTICIA Y LOS SERVIDORES JUDICIALES DEL DISTRITO."/>
    <n v="218"/>
    <s v="UNIDAD"/>
    <n v="119985.77981651376"/>
    <n v="22797.298165137614"/>
    <n v="31126711"/>
    <x v="13"/>
  </r>
  <r>
    <x v="8"/>
    <s v="OC 54075"/>
    <s v="ADQUIRIR CÁMARAS WEB Y DIADEMAS PARA DESPACHOS JUDICIALES Y ADMINISTRATIVOS DE LA RAMA JUDICIAL SECCIONAL MANIZALES. - CALDAS."/>
    <d v="2020-08-26T00:00:00"/>
    <d v="2020-08-27T00:00:00"/>
    <n v="145876000"/>
    <n v="0"/>
    <s v="GRUPO EMPRESARIAL CREAR DE COLOMBIA S.A.S."/>
    <n v="900564459"/>
    <s v="ADQUIRIR CÁMARAS WEB PARA DESPACHOS JUDICIALES Y ADMINISTRATIVOS DE LA RAMA JUDICIAL SECCIONAL MANIZALES. - CALDAS."/>
    <n v="200"/>
    <s v="UNIDAD"/>
    <n v="310000"/>
    <n v="58900"/>
    <n v="73780000"/>
    <x v="18"/>
  </r>
  <r>
    <x v="8"/>
    <s v="OC 54075"/>
    <s v="ADQUIRIR CÁMARAS WEB Y DIADEMAS PARA DESPACHOS JUDICIALES Y ADMINISTRATIVOS DE LA RAMA JUDICIAL SECCIONAL MANIZALES. - CALDAS."/>
    <d v="2020-08-26T00:00:00"/>
    <d v="2020-08-27T00:00:00"/>
    <n v="145876000"/>
    <n v="0"/>
    <s v="GRUPO EMPRESARIAL CREAR DE COLOMBIA S.A.S."/>
    <n v="900564459"/>
    <s v="ADQUIRIR DIADEMAS PARA DESPACHOS JUDICIALES Y ADMINISTRATIVOS DE LA RAMA JUDICIAL SECCIONAL MANIZALES. - CALDAS."/>
    <n v="400"/>
    <s v="UNIDAD"/>
    <n v="146000"/>
    <n v="27740"/>
    <n v="69496000"/>
    <x v="19"/>
  </r>
  <r>
    <x v="8"/>
    <s v="OC 54272"/>
    <s v="ADQUISICIÓN E INSTALACIÓN DE ESCÁNERES PARA DESPACHOS JUDICIALES Y ADMINISTRATIVOS DE LA DIRECCIÓN SECCIONAL DE ADMINISTRACIÓN JUDICIAL."/>
    <d v="2020-08-31T00:00:00"/>
    <d v="2020-08-31T00:00:00"/>
    <n v="80714451"/>
    <n v="0"/>
    <s v="GRUPO EMPRESARIAL CREAR DE COLOMBIA S.A.S."/>
    <n v="900564459"/>
    <s v="ADQUISICIÓN E INSTALACIÓN DE ESCÁNERES PARA DESPACHOS JUDICIALES Y ADMINISTRATIVOS DE LA DIRECCIÓN SECCIONAL DE ADMINISTRACIÓN JUDICIAL."/>
    <n v="35"/>
    <s v="UNIDAD"/>
    <n v="1937922"/>
    <n v="368205.18"/>
    <n v="80714451.300000012"/>
    <x v="17"/>
  </r>
  <r>
    <x v="8"/>
    <s v="CE-29-2020"/>
    <s v="SUMINISTRO DE TOALLAS DE PAPEL PARA MANOS PARA LA PROTECCIÓN PERSONAL Y PREVENCIÓN DE CONTAGIO DE COVID-19 EN LAS SEDES JUDICIALES DEL DISTRITO"/>
    <d v="2020-09-18T00:00:00"/>
    <d v="2020-09-20T00:00:00"/>
    <n v="6696000"/>
    <n v="0"/>
    <s v="PROVEER INSTITUCIONAL S.A.S."/>
    <n v="900365660"/>
    <s v="SUMINISTRO DE TOALLAS DE PAPEL PARA MANOS, ROLLO HOJA DOBLE PRECORTADA ROLLO X 120 METROS. COLOR NATURAL"/>
    <n v="600"/>
    <s v="ROLLO"/>
    <n v="9378.1516666666666"/>
    <n v="1781.8488166666666"/>
    <n v="6696000.29"/>
    <x v="8"/>
  </r>
  <r>
    <x v="8"/>
    <s v="CE-31-2020"/>
    <s v="PRESTACIÓN DE SERVICIOS DE PERSONAL DE APOYO A LA GESTIÓN CON VIGÍAS DE SALUD"/>
    <d v="2020-09-30T00:00:00"/>
    <d v="2020-10-01T00:00:00"/>
    <n v="55714520"/>
    <n v="0"/>
    <s v="CRUZ ROJA COLOMBIANA SECCIONAL CALDAS"/>
    <n v="890801201"/>
    <s v="PRESTACIÓN DE SERVICIOS DE PERSONAL DE APOYO A LA GESTIÓN CON VIGÍAS DE SALUD (3 MESES)"/>
    <n v="3"/>
    <s v="VALOR MENSUAL POR PERSONA"/>
    <n v="2057200"/>
    <n v="0"/>
    <n v="18514800"/>
    <x v="6"/>
  </r>
  <r>
    <x v="8"/>
    <s v="CE-31-2020"/>
    <s v="PRESTACIÓN DE SERVICIOS DE PERSONAL DE APOYO A LA GESTIÓN CON VIGÍAS DE SALUD"/>
    <d v="2020-09-30T00:00:00"/>
    <d v="2020-10-01T00:00:00"/>
    <n v="55714520"/>
    <n v="0"/>
    <s v="CRUZ ROJA COLOMBIANA SECCIONAL CALDAS"/>
    <n v="890801201"/>
    <s v="PRESTACIÓN DE SERVICIOS DE PERSONAL DE APOYO A LA GESTIÓN CON VIGÍAS DE SALUD (2 MESES 18 DIAS)"/>
    <n v="7"/>
    <s v="VALOR MENSUAL POR PERSONA"/>
    <n v="2043940.66"/>
    <n v="0"/>
    <n v="37199720.011999995"/>
    <x v="6"/>
  </r>
  <r>
    <x v="8"/>
    <s v="CE-31-2020"/>
    <s v="PRESTACIÓN DE SERVICIOS DE PERSONAL DE APOYO A LA GESTIÓN CON VIGÍAS DE SALUD"/>
    <d v="2020-09-30T00:00:00"/>
    <d v="2020-10-01T00:00:00"/>
    <m/>
    <n v="13345300"/>
    <s v="CRUZ ROJA COLOMBIANA SECCIONAL CALDAS"/>
    <n v="890801201"/>
    <s v="PRESTACIÓN DE SERVICIOS DE PERSONAL DE APOYO A LA GESTIÓN CON VIGÍAS DE SALUD (POR 1 MES)"/>
    <n v="7"/>
    <s v="VALOR MENSUAL POR PERSONA"/>
    <n v="1906471.43"/>
    <n v="0"/>
    <n v="13345300.01"/>
    <x v="6"/>
  </r>
  <r>
    <x v="8"/>
    <s v="OC 60222"/>
    <s v="ADQUSICIÓN DE ESCÁNERES VERTICALES Y DE MANO LECTORES DE BARRAS PARA DESPACHOS JUDICIALES Y ADMINISTRATIVOS DE LA RAMA JUDICIAL SECCIONAL MANIZALES. - CALDAS."/>
    <d v="2020-12-01T00:00:00"/>
    <d v="2020-12-03T00:00:00"/>
    <n v="124716230"/>
    <n v="50862790"/>
    <s v="GRUPO EMPRESARIAL CREAR DE COLOMBIA S.A.S."/>
    <n v="900564459"/>
    <s v="ADQUSICIÓN E INSTALACIÓN DE ESCÁNERES VERTICALES PARA DESPACHOS JUDICIALES Y ADMINISTRATIVOS DE LA RAMA JUDICIAL SECCIONAL MANIZALES. - CALDAS."/>
    <n v="70"/>
    <s v="UNIDAD"/>
    <n v="1424728"/>
    <n v="270698.32"/>
    <n v="118679842.40000001"/>
    <x v="17"/>
  </r>
  <r>
    <x v="8"/>
    <s v="OC 60222"/>
    <s v="ADQUSICIÓN DE ESCÁNERES VERTICALES Y DE MANO LECTORES DE BARRAS PARA DESPACHOS JUDICIALES Y ADMINISTRATIVOS DE LA RAMA JUDICIAL SECCIONAL MANIZALES. - CALDAS."/>
    <d v="2020-12-01T00:00:00"/>
    <d v="2020-12-03T00:00:00"/>
    <n v="124716230"/>
    <n v="0"/>
    <s v="GRUPO EMPRESARIAL CREAR DE COLOMBIA S.A.S."/>
    <n v="900564459"/>
    <s v="ADQUSICIÓNE INSTALACIÓN DE ESCÁNERES  DE MANO LECTORES DE BARRAS PARA DESPACHOS JUDICIALES Y ADMINISTRATIVOS DE LA RAMA JUDICIAL SECCIONAL MANIZALES. - CALDAS."/>
    <n v="15"/>
    <s v="UNIDAD"/>
    <n v="338173"/>
    <n v="64252.87"/>
    <n v="6036388.0499999998"/>
    <x v="17"/>
  </r>
  <r>
    <x v="8"/>
    <s v="OC 58406"/>
    <s v="SUMINISTRO DE ELEMENTOS DE BIOSEGURIDAD, CON EL FIN DE PREVENIR EL CONTAGIO DEL COVID 19 EN EL DISTRITO JUDICIAL (GEL ANTIBACTERIAL)."/>
    <d v="2020-11-12T00:00:00"/>
    <d v="2020-11-12T00:00:00"/>
    <n v="4459400"/>
    <n v="0"/>
    <s v="SOLOASEO CAFETERIA DISTRIBUCIONES"/>
    <n v="19254921"/>
    <s v="SUMINISTRO DE GEL ANTIBACTERIAL POR LITRO, CON EL FIN DE PREVENIR EL CONTAGIO DEL COVID 19 EN EL DISTRITO JUDICIAL"/>
    <n v="750"/>
    <s v="LITRO"/>
    <n v="4149"/>
    <n v="0"/>
    <n v="3111750"/>
    <x v="4"/>
  </r>
  <r>
    <x v="8"/>
    <s v="OC 58406"/>
    <s v="SUMINISTRO DE ELEMENTOS DE BIOSEGURIDAD, CON EL FIN DE PREVENIR EL CONTAGIO DEL COVID 19 EN EL DISTRITO JUDICIAL (GEL ANTIBACTERIAL)."/>
    <d v="2020-11-12T00:00:00"/>
    <d v="2020-11-12T00:00:00"/>
    <n v="4459400"/>
    <n v="0"/>
    <s v="SOLOASEO CAFETERIA DISTRIBUCIONES"/>
    <n v="19254921"/>
    <s v="SUMINISTRO DE JABÓN DISPENSADOR PARA MANOS GALÓN X 3.785 CC, CON EL FIN DE PREVENIR EL CONTAGIO DEL COVID 19 EN EL DISTRITO JUDICIAL"/>
    <n v="750"/>
    <s v="LITRO"/>
    <n v="1560"/>
    <n v="0"/>
    <n v="1170000"/>
    <x v="5"/>
  </r>
  <r>
    <x v="8"/>
    <s v="OC 58411"/>
    <s v="SUMINISTRO DE ELEMENTOS DE BIOSEGURIDAD, CON EL FIN DE PREVENIR EL CONTAGIO DEL COVID 19 EN EL DISTRITO JUDICIAL (PAPEL VINIPEL)."/>
    <d v="2020-11-12T00:00:00"/>
    <d v="2020-11-12T00:00:00"/>
    <n v="1512840"/>
    <n v="0"/>
    <s v="PANORAMMA DISENO DE SOLUCIONES S.A.S."/>
    <n v="900671732"/>
    <s v="SUMINISTRO DE PAPEL VINIPEL EN ROLLO, CON EL FIN DE PREVENIR EL CONTAGIO DEL COVID 19 EN EL DISTRITO JUDICIAL "/>
    <n v="200"/>
    <s v="ROLLO"/>
    <n v="5180"/>
    <n v="984.2"/>
    <n v="1232840"/>
    <x v="7"/>
  </r>
  <r>
    <x v="8"/>
    <s v="OC 58413"/>
    <s v="SUMINISTRO DE ELEMENTOS DE BIOSEGURIDAD, CON EL FIN DE PREVENIR EL CONTAGIO DEL COVID 19 EN EL DISTRITO JUDICIAL (GUANTES NITRILO)."/>
    <d v="2020-11-12T00:00:00"/>
    <d v="2020-11-12T00:00:00"/>
    <n v="1078700"/>
    <n v="0"/>
    <s v="GLOBALK COLOMBIA SAS"/>
    <n v="830051855"/>
    <s v="SUMINISTRO DE GUANTES DE NITRILO, CON EL FIN DE PREVENIR EL CONTAGIO DEL COVID 19 EN EL DISTRITO JUDICIAL "/>
    <n v="23"/>
    <s v="CAJA X 100"/>
    <n v="40900"/>
    <n v="0"/>
    <n v="940700"/>
    <x v="10"/>
  </r>
  <r>
    <x v="8"/>
    <s v="OC 58415"/>
    <s v="SUMINISTRO DE ELEMENTOS DE BIOSEGURIDAD, CON EL FIN DE PREVENIR EL CONTAGIO DEL COVID 19 EN EL DISTRITO JUDICIAL (CARETAS - VISORES PROTECORES)."/>
    <d v="2020-11-12T00:00:00"/>
    <d v="2020-11-12T00:00:00"/>
    <n v="614000"/>
    <n v="0"/>
    <s v="BON SANTE SAS"/>
    <n v="901211678"/>
    <s v="SUMINISTRO CARETAS - VISORES PROTECTORES, CON EL FIN DE PREVENIR EL CONTAGIO DEL COVID 19 EN EL DISTRITO JUDICIAL "/>
    <n v="200"/>
    <s v="UNIDAD"/>
    <n v="2700"/>
    <n v="0"/>
    <n v="540000"/>
    <x v="11"/>
  </r>
  <r>
    <x v="8"/>
    <s v="OC 58416"/>
    <s v="SUMINISTRO DE ELEMENTOS DE BIOSEGURIDAD, CON EL FIN DE PREVENIR EL CONTAGIO DEL COVID 19 EN EL DISTRITO JUDICIAL (ALCOHOL)."/>
    <d v="2020-11-12T00:00:00"/>
    <d v="2020-11-12T00:00:00"/>
    <n v="6095000"/>
    <n v="0"/>
    <s v="MARCELA ALEXANDRA MESA"/>
    <n v="52223268"/>
    <s v="ALCOHOL ANTISÉPTICO DE USO EXTERNO AL 70%, BOTELLA POR X 750 CC"/>
    <n v="750"/>
    <s v="LITRO"/>
    <n v="4793.333333333333"/>
    <n v="0"/>
    <n v="3595000"/>
    <x v="26"/>
  </r>
  <r>
    <x v="8"/>
    <s v="CE-47-2020"/>
    <s v="ADQUISICIÓN DE TAPABOCAS DESECHABLE, COMO PREVENCIÓN DEL CONTAGIO CON EL COVID19 (CORONAVIRUS), "/>
    <d v="2020-12-09T00:00:00"/>
    <d v="2020-12-09T00:00:00"/>
    <n v="6514480"/>
    <n v="0"/>
    <s v="ETHEREUM S.A.S"/>
    <n v="901194503"/>
    <s v="ADQUISICIÓN DE TAPABOCAS DESECHABLE, COMO PREVENCIÓN DEL CONTAGIO CON EL COVID19 (CORONAVIRUS), "/>
    <n v="28000"/>
    <s v="UNIDAD"/>
    <n v="232.66"/>
    <n v="0"/>
    <n v="6514480"/>
    <x v="3"/>
  </r>
  <r>
    <x v="8"/>
    <s v="CE-50-2020"/>
    <s v="SERVICIO DE DESINFECCIÓN A PRECIO UNITARIO Y MONTO AGOTABLE DE LAS SEDES JUDICIALES DEL DISTRITO, COMO PREVENCIÓN DE CONTAGIO DE COVID-19"/>
    <d v="2020-12-16T00:00:00"/>
    <d v="2020-12-16T00:00:00"/>
    <n v="15000000"/>
    <n v="0"/>
    <s v="MARÍA RUTH DÍAZ DE DUQUE "/>
    <n v="24319928"/>
    <s v="SERVICIO DE DESINFECCIÓN MONTO AGOTABLE DE LAS SEDES JUDICIALES DEL DISTRITO, COMO PREVENCIÓN DE CONTAGIO DE COVID-19"/>
    <n v="29"/>
    <s v="SEDE"/>
    <n v="434656.55"/>
    <n v="82584.744500000001"/>
    <n v="14999997.540499998"/>
    <x v="39"/>
  </r>
  <r>
    <x v="8"/>
    <s v="OC 62376"/>
    <s v="ADQUISICIÓNDE TOALLAS DE PAPEL Y SUS DISPENSADORES COMO PREVENCIÓN DE CONTAGIO DE COVID-19."/>
    <d v="2020-12-21T00:00:00"/>
    <d v="2020-12-21T00:00:00"/>
    <n v="15191150"/>
    <n v="0"/>
    <s v="JM GRUPO EMPRESARIAL S.A.S"/>
    <n v="900353659"/>
    <s v="ROLLO CON LONGITUD MÍNIMA DE 100 METROS, DOBLE HOJA CON UN TAMAÑO MÍNIMO 15 CM DE ANCHO; DISPONIBLES EN COLOR NATURAL"/>
    <n v="500"/>
    <s v="ROLLO"/>
    <n v="8800"/>
    <n v="1672"/>
    <n v="5236000"/>
    <x v="8"/>
  </r>
  <r>
    <x v="8"/>
    <s v="OC 62376"/>
    <s v="ADQUISICIÓNDE TOALLAS DE PAPEL Y SUS DISPENSADORES COMO PREVENCIÓN DE CONTAGIO DE COVID-19."/>
    <d v="2020-12-21T00:00:00"/>
    <d v="2020-12-21T00:00:00"/>
    <n v="15191150"/>
    <n v="0"/>
    <s v="JM GRUPO EMPRESARIAL S.A.S"/>
    <n v="900353659"/>
    <s v="ADQUISICIÓN DISPENSADORES PARA TOALLAS DE PAPEL COMO PREVENCIÓN DE CONTAGIO DE COVID-19."/>
    <n v="100"/>
    <s v="UNIDAD"/>
    <n v="66850"/>
    <n v="12701.5"/>
    <n v="7955150"/>
    <x v="12"/>
  </r>
  <r>
    <x v="8"/>
    <s v="OC 62381"/>
    <s v="ADQUISICIÓN DE ALCOHOL, GEL ANTIBACTERIAL Y TOALLLAS DE PAPEL PARA MANOS, COMO PREVENCIÓN DE CONTAGIO DE COVID-19."/>
    <d v="2020-12-21T00:00:00"/>
    <d v="2020-12-21T00:00:00"/>
    <n v="7779980.4199999999"/>
    <n v="0"/>
    <s v="SUMIMAS S.A.S."/>
    <n v="830001338"/>
    <s v="ALCOHOL ANTISÉPTICO DE USO EXTERNO AL 70%, BOTELLA POR X 750 CC"/>
    <n v="375"/>
    <s v="LITRO"/>
    <n v="5000"/>
    <n v="0"/>
    <n v="1875000"/>
    <x v="26"/>
  </r>
  <r>
    <x v="8"/>
    <s v="OC 62381"/>
    <s v="ADQUISICIÓN DE ALCOHOL, GEL ANTIBACTERIAL Y TOALLLAS DE PAPEL PARA MANOS, COMO PREVENCIÓN DE CONTAGIO DE COVID-19."/>
    <d v="2020-12-21T00:00:00"/>
    <d v="2020-12-21T00:00:00"/>
    <n v="7779980.4199999999"/>
    <n v="0"/>
    <s v="SUMIMAS S.A.S."/>
    <n v="830001338"/>
    <s v="ADQUISICIÓN DE GEL ANTIBACTERIAL COMO PREVENCIÓN DE CONTAGIO DE COVID-19."/>
    <n v="500"/>
    <s v="LITRO"/>
    <n v="4450"/>
    <n v="0"/>
    <n v="2225000"/>
    <x v="4"/>
  </r>
  <r>
    <x v="8"/>
    <s v="OC 62381"/>
    <s v="ADQUISICIÓN DE ALCOHOL, GEL ANTIBACTERIAL Y TOALLLAS DE PAPEL PARA MANOS, COMO PREVENCIÓN DE CONTAGIO DE COVID-19."/>
    <d v="2020-12-21T00:00:00"/>
    <d v="2020-12-21T00:00:00"/>
    <n v="7779980.4199999999"/>
    <n v="0"/>
    <s v="SUMIMAS S.A.S."/>
    <n v="830001338"/>
    <s v="ROLLO CON LONGITUD MÍNIMA DE 100 METROS, DOBLE HOJA CON UN TAMAÑO MÍNIMO 15 CM DE ANCHO; DISPONIBLES EN COLOR NATURAL"/>
    <n v="249"/>
    <s v="ROLLO"/>
    <n v="9382"/>
    <n v="1782.58"/>
    <n v="2779980.42"/>
    <x v="8"/>
  </r>
  <r>
    <x v="8"/>
    <s v="OC 62382"/>
    <s v="ADQUISICIÓN DE DISPENSADORES PARA TOALLAS DE PAPEL PARA LAS SEDES JUDICIALES DEL DISTRITO, COMO PREVENCIÓN DE CONTAGIO DE COVID-19."/>
    <d v="2020-12-21T00:00:00"/>
    <d v="2020-12-21T00:00:00"/>
    <n v="10167457.199999999"/>
    <n v="0"/>
    <s v="INDUHOTEL SAS"/>
    <n v="900300970"/>
    <s v="ELABORADO EN PLÁSTICO ABS, PARA TOALLAS DE PAPEL EN ROLLO DE 100 A 250 METROS PARA HALAR CON LA MANO, CON CERRADURA Y LLAVE; INCLUYE LOS ELEMENTOS NECESARIOS PARA REALIZAR LA INSTALACIÓN EN PARED"/>
    <n v="120"/>
    <s v="UNIDAD"/>
    <n v="66999"/>
    <n v="12729.81"/>
    <n v="9567457.1999999993"/>
    <x v="12"/>
  </r>
  <r>
    <x v="8"/>
    <s v="OC-62398"/>
    <s v="ADQUISICIÓN DE GUANTES DE NITRILO PARA LOS SERVIDORES JUDICIALES DEL DISTRITO, COMO PREVENCIÓN DE CONTAGIO DE COVID-19."/>
    <d v="2020-12-21T00:00:00"/>
    <d v="2020-12-21T00:00:00"/>
    <n v="4852000"/>
    <n v="0"/>
    <s v="BON SANTE SAS"/>
    <n v="901211678"/>
    <s v="SUMINISTRO DE GUANTES DE NITRILO, CON EL FIN DE PREVENIR EL CONTAGIO DEL COVID 19 EN EL DISTRITO JUDICIAL "/>
    <n v="80"/>
    <s v="CAJA X 100"/>
    <n v="56900"/>
    <n v="0"/>
    <n v="4552000"/>
    <x v="10"/>
  </r>
  <r>
    <x v="8"/>
    <s v="OC-62399"/>
    <s v="ADQUISICIÓN DE SENSORES DE TEMPERATURA COMO PREVENCIÓN DE CONTAGIO DE COVID-19."/>
    <d v="2020-12-21T00:00:00"/>
    <d v="2020-12-21T00:00:00"/>
    <n v="1120000"/>
    <n v="0"/>
    <s v="AVANZA INTERNATIONAL GROUP"/>
    <n v="900505419"/>
    <s v="ADQUISICIÓN DE SENSORES DE TEMPERATURA COMO PREVENCIÓN DE CONTAGIO DE COVID-19."/>
    <n v="22"/>
    <s v="UNIDAD"/>
    <n v="45000"/>
    <n v="0"/>
    <n v="990000"/>
    <x v="22"/>
  </r>
  <r>
    <x v="9"/>
    <s v="2020-006"/>
    <s v="SUMINISTRO DE GEL ANTIBACTERIAL Y SOPORTE DE PARED_x000a_PARA PREVENIR EL CONTAGIO POR COVID-19 DE LOS_x000a_SERVIDORES DE LAS DIFERENTES SEDES Y DESPACHOS_x000a_JUDICIALES DE LA DIRECCIÓN EJECUTIVA SECCIONAL DE_x000a_ADMINISTRACIÓN JUDICIAL DE MEDELLÍN Y CHOCÓ"/>
    <d v="2020-05-08T00:00:00"/>
    <d v="2020-05-12T00:00:00"/>
    <n v="0"/>
    <n v="20220000"/>
    <s v="SERVISEPTICOS S.A.S."/>
    <n v="900429897"/>
    <s v="GEL ANTIBACTERIAL CON TAPA DIOSPENSADORA X LITRO"/>
    <n v="1200"/>
    <s v="LITRO"/>
    <n v="16850"/>
    <n v="0"/>
    <n v="20220000"/>
    <x v="4"/>
  </r>
  <r>
    <x v="9"/>
    <s v="2020-008"/>
    <s v="SUMINISTRO DE TOALLA DESECHABLE PARA MANOS PARA PREVENIR EL CONTAGIO POR COVID-19 DE LOS SERVIDORES DE LAS DIFERENTES SEDES Y DESPACHOS JUDICIALES DE LA DIRECCIÓN EJECUTIVA SECCIONAL DE ADMINISTRACIÓN JUDICIAL DE MEDELLÍN Y CHOCÓ"/>
    <d v="2020-05-20T00:00:00"/>
    <d v="2020-05-21T00:00:00"/>
    <n v="202984642"/>
    <n v="0"/>
    <s v="PAPELERÍA EL PUNTO S.A.S."/>
    <n v="800004711"/>
    <s v="TOALLA DE MANOS NATURAL 100MTS X20 CMS PACA X 6 ROLLOS"/>
    <n v="11148"/>
    <s v="ROLLO"/>
    <n v="15301"/>
    <n v="2907.19"/>
    <n v="202984902.11999997"/>
    <x v="8"/>
  </r>
  <r>
    <x v="9"/>
    <s v="2020-005"/>
    <s v="SUMINISTRO DE TERMÓMETROS INFRARROJOS (Y SUS BATERÍAS) PARA MEDIR LA TEMPERATURA A TODAS LAS PERSONAS QUE VAYAN A INGRESAR A LAS INSTALACIONES LOCATIVAS DE LAS DIFERENTES SEDES Y DESPACHOS JUDICIALES A CARGO DE LA DIRECCIÓN EJECUTIVA SECCIONAL DE ADMINISTRACIÓN JUDICIAL ANTIOQUIA – CHOCÓ, PARA PREVENIR EL CONTAGIO POR COVID-19 DE LOS SERVIDORES PÚBLICOS Y USUARIOS"/>
    <d v="2020-05-07T00:00:00"/>
    <d v="2020-05-11T00:00:00"/>
    <n v="0"/>
    <n v="11965845"/>
    <s v="COMPEL S.A"/>
    <n v="800147520"/>
    <s v="TERMÓMETRO INFRAROJO UT30R_x000a_"/>
    <n v="38"/>
    <s v="UNIDAD"/>
    <n v="300000"/>
    <n v="0"/>
    <n v="11400000"/>
    <x v="22"/>
  </r>
  <r>
    <x v="9"/>
    <s v="2020-005"/>
    <s v="SUMINISTRO DE TERMÓMETROS INFRARROJOS (Y SUS BATERÍAS) PARA MEDIR LA TEMPERATURA A TODAS LAS PERSONAS QUE VAYAN A INGRESAR A LAS INSTALACIONES LOCATIVAS DE LAS DIFERENTES SEDES Y DESPACHOS JUDICIALES A CARGO DE LA DIRECCIÓN EJECUTIVA SECCIONAL DE ADMINISTRACIÓN JUDICIAL ANTIOQUIA – CHOCÓ, PARA PREVENIR EL CONTAGIO POR COVID-19 DE LOS SERVIDORES PÚBLICOS Y USUARIOS"/>
    <d v="2020-05-07T00:00:00"/>
    <d v="2020-05-11T00:00:00"/>
    <n v="0"/>
    <n v="11965845"/>
    <s v="COMPEL S.A"/>
    <n v="800147520"/>
    <s v="_x000a_PILA ALKALINA AAA GP"/>
    <n v="317"/>
    <s v="UNIDAD"/>
    <n v="1500"/>
    <n v="285"/>
    <n v="565845"/>
    <x v="36"/>
  </r>
  <r>
    <x v="9"/>
    <s v="2020-011"/>
    <s v="SUMINISTRO DE CARETAS EN POLIPROPILENO O MÁSCARA DE PROTECCIÓN FACIAL, COMO ELEMENTO DE PROTECCIÓN PERSONAL EN EL MARCO DE LA PREVENCIÓN DEL CONTAGIO POR COVID-19, PARA LOS SERVIDORES DE LAS DIFERENTES SEDES Y DESPACHOS JUDICIALES DE LA DIRECCIÓN EJECUTIVA SECCIONAL DE ADMINISTRACIÓN JUDICIAL DE ANTIOQUIA Y CHOCÓ"/>
    <d v="2020-06-12T00:00:00"/>
    <d v="2020-06-16T00:00:00"/>
    <n v="36000000"/>
    <n v="0"/>
    <s v="LÍNEAS MÉDICAS ESPECIALIZADAS DE COLOMBIA S.A.S."/>
    <n v="900673010"/>
    <s v="MÁSCARA (CARETA) DE PROTECCIÓN FACIAL EN POLIETILENO, ANTIEMPAÑANTE, ANTIFLUIDOS; MEDIDAS 25X29 CMS Y GROSOR DE 0.25 MM"/>
    <n v="4000"/>
    <s v="UNIDAD"/>
    <n v="9000"/>
    <n v="0"/>
    <n v="36000000"/>
    <x v="11"/>
  </r>
  <r>
    <x v="9"/>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 LAVADO DE MANOS._x000a_"/>
    <n v="330"/>
    <s v="UNIDAD"/>
    <n v="7022"/>
    <n v="1334.18"/>
    <n v="2757539.4"/>
    <x v="33"/>
  </r>
  <r>
    <x v="9"/>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_x000a_ADHESIVO RESTRICCION INGRESO._x000a_"/>
    <n v="330"/>
    <s v="UNIDAD"/>
    <n v="3634"/>
    <n v="690.46"/>
    <n v="1427071.8"/>
    <x v="33"/>
  </r>
  <r>
    <x v="9"/>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_x000a_ADHESIVO USO TAPABOCAS._x000a_"/>
    <n v="320"/>
    <s v="UNIDAD"/>
    <n v="3634"/>
    <n v="690.46"/>
    <n v="1383827.2"/>
    <x v="33"/>
  </r>
  <r>
    <x v="9"/>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 DISTANCIA SOCIAL._x000a_"/>
    <n v="320"/>
    <s v="UNIDAD"/>
    <n v="3634"/>
    <n v="690.46"/>
    <n v="1383827.2"/>
    <x v="33"/>
  </r>
  <r>
    <x v="9"/>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 HIGIENE RESPIRATORIA._x000a_"/>
    <n v="320"/>
    <s v="UNIDAD"/>
    <n v="3634"/>
    <n v="690.46"/>
    <n v="1383827.2"/>
    <x v="33"/>
  </r>
  <r>
    <x v="9"/>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 LIMPIEZA-DESINFECC._x000a_"/>
    <n v="320"/>
    <s v="UNIDAD"/>
    <n v="3634"/>
    <n v="690.46"/>
    <n v="1383827.2"/>
    <x v="33"/>
  </r>
  <r>
    <x v="9"/>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 REPORTE CONDIC.SALUD._x000a_"/>
    <n v="320"/>
    <s v="UNIDAD"/>
    <n v="3634"/>
    <n v="690.46"/>
    <n v="1383827.2"/>
    <x v="33"/>
  </r>
  <r>
    <x v="9"/>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 USO MEDIOS BICICLETA._x000a_"/>
    <n v="320"/>
    <s v="UNIDAD"/>
    <n v="3634"/>
    <n v="690.46"/>
    <n v="1383827.2"/>
    <x v="33"/>
  </r>
  <r>
    <x v="9"/>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 FOMENTO HABITOS SALUD._x000a_"/>
    <n v="320"/>
    <s v="UNIDAD"/>
    <n v="3634"/>
    <n v="690.46"/>
    <n v="1383827.2"/>
    <x v="33"/>
  </r>
  <r>
    <x v="9"/>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S PISO RECTÁNGULOS. _x000a_"/>
    <n v="1500"/>
    <s v="UNIDAD"/>
    <n v="4125"/>
    <n v="783.75"/>
    <n v="7363125"/>
    <x v="33"/>
  </r>
  <r>
    <x v="9"/>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ADHESIVOS PISO ASCENSORES._x000a_"/>
    <n v="48"/>
    <s v="UNIDAD"/>
    <n v="4950"/>
    <n v="940.5"/>
    <n v="282744"/>
    <x v="33"/>
  </r>
  <r>
    <x v="9"/>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INSTALACION GIRARDOTA-COPACAB Y OTROS_x000a_"/>
    <n v="3"/>
    <s v="SEDE"/>
    <n v="245000"/>
    <n v="46550"/>
    <n v="874650"/>
    <x v="45"/>
  </r>
  <r>
    <x v="9"/>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INSTALACIÓN CALDAS-MEDELLÍN Y OTROS_x000a_"/>
    <n v="7"/>
    <s v="SEDE"/>
    <n v="220000"/>
    <n v="41800"/>
    <n v="1832600"/>
    <x v="45"/>
  </r>
  <r>
    <x v="9"/>
    <s v="2020-012"/>
    <s v="SUMINISTRO DE SEÑALIZACIÓN PARA EL CUMPLIMIENTO DEL PROTOCOLOEN EL MARCO DE LA PREVENCIÓN DEL CONTAGIO POR COVID-19 EN LAS DIFERENTES SEDES Y DESPACHOS DE LA DIRECCIÓN EJECUTIVA SECCIONAL DE ADMINISTRACIÓN JUDICIAL DE MEDELLÍN Y CHOCÓ, CON INSTALACIÓN EN LAS SEDES DE LOS MUNICIPIOS DEL ÁREA METROPOLITANA Y RIONEGRO."/>
    <d v="2020-06-12T00:00:00"/>
    <d v="2020-06-16T00:00:00"/>
    <n v="24617210"/>
    <n v="0"/>
    <s v="COLOR LIQUIDO IMPRESION DIGITAL S.A.S"/>
    <n v="811036638"/>
    <s v="INSTALACIÓN RIONEGRO."/>
    <n v="1"/>
    <s v="SEDE"/>
    <n v="332000"/>
    <n v="63080"/>
    <n v="395080"/>
    <x v="45"/>
  </r>
  <r>
    <x v="9"/>
    <s v="2020-001"/>
    <s v="SUMINISTRO DE ELEMENTOS DE PROTECCIÓN PERSONAL PARA PREVENIR EL CONTAGIO POR COVID-19 DE LOS SERVIDORES DE LAS DIFERENTES SEDES Y DESPACHOS JUDICIALES DE LA DIRECCIÓN EJECUTIVA SECCIONAL DE ADMINISTRACIÓN JUDICIAL DE MEDELLÍN Y CHOCÓ"/>
    <d v="2020-03-30T00:00:00"/>
    <d v="2020-03-30T00:00:00"/>
    <n v="26983488"/>
    <n v="0"/>
    <s v="PRODEFARMA S.A.S."/>
    <n v="900727931"/>
    <s v="TAPABOCAS DESECH. TELA QUIRURGICO"/>
    <n v="10000"/>
    <s v="UNIDAD"/>
    <n v="1850"/>
    <n v="351.5"/>
    <n v="22015000"/>
    <x v="3"/>
  </r>
  <r>
    <x v="9"/>
    <s v="2020-001"/>
    <s v="SUMINISTRO DE ELEMENTOS DE PROTECCIÓN PERSONAL PARA PREVENIR EL CONTAGIO POR COVID-19 DE LOS SERVIDORES DE LAS DIFERENTES SEDES Y DESPACHOS JUDICIALES DE LA DIRECCIÓN EJECUTIVA SECCIONAL DE ADMINISTRACIÓN JUDICIAL DE MEDELLÍN Y CHOCÓ"/>
    <d v="2020-03-30T00:00:00"/>
    <d v="2020-03-30T00:00:00"/>
    <n v="26983488"/>
    <n v="0"/>
    <s v="PRODEFARMA S.A.S."/>
    <n v="900727931"/>
    <s v="GUANTE DESECHABLE CAJA X100."/>
    <n v="307"/>
    <s v="CAJA X 100"/>
    <n v="13600"/>
    <n v="2584"/>
    <n v="4968488"/>
    <x v="24"/>
  </r>
  <r>
    <x v="9"/>
    <s v="2020-003"/>
    <s v="SUMINISTRO DE ELEMENTOS DE PROTECCIÓN PERSONAL PARA PREVENIR EL CONTAGIO POR COVID-19 DE LOS SERVIDORES DE LAS DIFERENTES SEDES Y DESPACHOS JUDICIALES DE LA DIRECCIÓN EJECUTIVA SECCIONAL DE ADMINISTRACIÓN JUDICIAL DE MEDELLÍN Y CHOCÓ"/>
    <d v="2020-04-29T00:00:00"/>
    <d v="2020-04-29T00:00:00"/>
    <n v="51899000"/>
    <n v="0"/>
    <s v="PRODEFARMA S.A.S."/>
    <n v="900727931"/>
    <s v="TAPABOCAS DESECHABLE._x000a_"/>
    <n v="34151"/>
    <s v="UNIDAD"/>
    <n v="1000"/>
    <n v="0"/>
    <n v="34151000"/>
    <x v="3"/>
  </r>
  <r>
    <x v="9"/>
    <s v="2020-003"/>
    <s v="SUMINISTRO DE ELEMENTOS DE PROTECCIÓN PERSONAL PARA PREVENIR EL CONTAGIO POR COVID-19 DE LOS SERVIDORES DE LAS DIFERENTES SEDES Y DESPACHOS JUDICIALES DE LA DIRECCIÓN EJECUTIVA SECCIONAL DE ADMINISTRACIÓN JUDICIAL DE MEDELLÍN Y CHOCÓ"/>
    <d v="2020-04-29T00:00:00"/>
    <d v="2020-04-29T00:00:00"/>
    <n v="51899000"/>
    <n v="0"/>
    <s v="PRODEFARMA S.A.S."/>
    <n v="900727931"/>
    <s v="GUANTE DESECHABLE LATEX CAJA X100 "/>
    <n v="1305"/>
    <s v="CAJA X 100"/>
    <n v="13600"/>
    <n v="0"/>
    <n v="17748000"/>
    <x v="24"/>
  </r>
  <r>
    <x v="9"/>
    <s v="2020-005"/>
    <s v="SUMINISTRO DE TERMÓMETROS INFRARROJOS (Y SUS BATERÍAS) PARA MEDIR LA TEMPERATURA A TODAS LAS PERSONAS QUE VAYAN A INGRESAR A LAS INSTALACIONES LOCATIVAS DE LAS DIFERENTES SEDES Y DESPACHOS JUDICIALES A CARGO DE LA DIRECCIÓN EJECUTIVA SECCIONAL DE ADMINISTRACIÓN JUDICIAL ANTIOQUIA – CHOCÓ, PARA PREVENIR EL CONTAGIO POR COVID-19 DE LOS SERVIDORES PÚBLICOS Y USUARIOS"/>
    <d v="2020-05-07T00:00:00"/>
    <d v="2020-05-11T00:00:00"/>
    <n v="3898952"/>
    <n v="0"/>
    <s v="COMPEL S.A"/>
    <n v="800147520"/>
    <s v="TERMÓMETRO INFRAROJO UT30R"/>
    <n v="12"/>
    <s v="UNIDAD"/>
    <n v="300000"/>
    <n v="0"/>
    <n v="3600000"/>
    <x v="22"/>
  </r>
  <r>
    <x v="9"/>
    <s v="2020-005"/>
    <s v="SUMINISTRO DE TERMÓMETROS INFRARROJOS (Y SUS BATERÍAS) PARA MEDIR LA TEMPERATURA A TODAS LAS PERSONAS QUE VAYAN A INGRESAR A LAS INSTALACIONES LOCATIVAS DE LAS DIFERENTES SEDES Y DESPACHOS JUDICIALES A CARGO DE LA DIRECCIÓN EJECUTIVA SECCIONAL DE ADMINISTRACIÓN JUDICIAL ANTIOQUIA – CHOCÓ, PARA PREVENIR EL CONTAGIO POR COVID-19 DE LOS SERVIDORES PÚBLICOS Y USUARIOS"/>
    <d v="2020-05-07T00:00:00"/>
    <d v="2020-05-11T00:00:00"/>
    <n v="3898952"/>
    <n v="0"/>
    <s v="COMPEL S.A"/>
    <n v="800147520"/>
    <s v="_x000a_PILA ALKALINA AAA GP"/>
    <n v="158"/>
    <s v="UNIDAD"/>
    <n v="1590"/>
    <n v="302.10000000000002"/>
    <n v="298951.8"/>
    <x v="36"/>
  </r>
  <r>
    <x v="9"/>
    <s v="2020-006"/>
    <s v="SUMINISTRO DE GEL ANTIBACTERIAL Y SOPORTE DE PARED_x000a_PARA PREVENIR EL CONTAGIO POR COVID-19 DE LOS_x000a_SERVIDORES DE LAS DIFERENTES SEDES Y DESPACHOS_x000a_JUDICIALES DE LA DIRECCIÓN EJECUTIVA SECCIONAL DE_x000a_ADMINISTRACIÓN JUDICIAL DE MEDELLÍN Y CHOCÓ"/>
    <d v="2020-05-08T00:00:00"/>
    <d v="2020-05-12T00:00:00"/>
    <n v="36164900"/>
    <n v="0"/>
    <s v="SERVISEPTICOS S.A.S."/>
    <n v="900429897"/>
    <s v="GEL ANTIBACTER. TAPA DISP. X LITRO."/>
    <n v="1354"/>
    <s v="LITRO"/>
    <n v="16850"/>
    <n v="0"/>
    <n v="22814900"/>
    <x v="4"/>
  </r>
  <r>
    <x v="9"/>
    <s v="2020-006"/>
    <s v="SUMINISTRO DE GEL ANTIBACTERIAL Y SOPORTE DE PARED_x000a_PARA PREVENIR EL CONTAGIO POR COVID-19 DE LOS_x000a_SERVIDORES DE LAS DIFERENTES SEDES Y DESPACHOS_x000a_JUDICIALES DE LA DIRECCIÓN EJECUTIVA SECCIONAL DE_x000a_ADMINISTRACIÓN JUDICIAL DE MEDELLÍN Y CHOCÓ"/>
    <d v="2020-05-08T00:00:00"/>
    <d v="2020-05-12T00:00:00"/>
    <n v="36164900"/>
    <n v="0"/>
    <s v="SERVISEPTICOS S.A.S."/>
    <n v="900429897"/>
    <s v="SOPORTE METÁLICO DE PARED."/>
    <n v="1335"/>
    <s v="UNIDAD"/>
    <n v="10000"/>
    <n v="0"/>
    <n v="13350000"/>
    <x v="12"/>
  </r>
  <r>
    <x v="9"/>
    <s v="2020-003"/>
    <s v="SUMINISTRO DE ELEMENTOS DE PROTECCIÓN PERSONAL PARA PREVENIR EL CONTAGIO POR COVID-19 DE LOS SERVIDORES DE LAS DIFERENTES SEDES Y DESPACHOS JUDICIALES DE LA DIRECCIÓN EJECUTIVA SECCIONAL DE ADMINISTRACIÓN JUDICIAL DE MEDELLÍN Y CHOCÓ"/>
    <d v="2020-04-29T00:00:00"/>
    <d v="2020-05-05T00:00:00"/>
    <n v="0"/>
    <n v="150000000"/>
    <s v="PRODEFARMA S.A.S."/>
    <n v="900727931"/>
    <s v="TAPABOCAS EN TELA QUIRÚRGICA"/>
    <n v="150000"/>
    <s v="UNIDAD"/>
    <n v="1000"/>
    <n v="0"/>
    <n v="150000000"/>
    <x v="3"/>
  </r>
  <r>
    <x v="9"/>
    <s v="2020-015"/>
    <s v="SUMINISTRO DE PAPELERAS DE PEDAL Y BOLSAS PLÁSTICAS, PARA LA RECOLECCIÓN DE LOS ELEMENTOS DE PROTECCIÓN PERSONAL UTILIZADOS POR LOS SERVIDORES DE LAS DIFERENTES SEDES Y DESPACHOS JUDICIALES DE MEDELLÍN Y CHOCÓ EN EL MARCO DE LA PREVENCIÓN DEL CONTAGIO POR COVID-19."/>
    <d v="2020-07-03T00:00:00"/>
    <d v="2020-07-06T00:00:00"/>
    <n v="14999192"/>
    <n v="0"/>
    <s v="VENTAS Y MÁS S.A.S"/>
    <n v="900471617"/>
    <s v="PAPELERA DE PEDAL"/>
    <n v="440"/>
    <s v="UNIDAD"/>
    <n v="29500"/>
    <n v="0"/>
    <n v="12980000"/>
    <x v="15"/>
  </r>
  <r>
    <x v="9"/>
    <s v="2020-015"/>
    <s v="SUMINISTRO DE PAPELERAS DE PEDAL Y BOLSAS PLÁSTICAS, PARA LA RECOLECCIÓN DE LOS ELEMENTOS DE PROTECCIÓN PERSONAL UTILIZADOS POR LOS SERVIDORES DE LAS DIFERENTES SEDES Y DESPACHOS JUDICIALES DE MEDELLÍN Y CHOCÓ EN EL MARCO DE LA PREVENCIÓN DEL CONTAGIO POR COVID-19."/>
    <d v="2020-07-03T00:00:00"/>
    <d v="2020-07-06T00:00:00"/>
    <n v="14999192"/>
    <n v="0"/>
    <s v="VENTAS Y MÁS S.A.S"/>
    <n v="900471617"/>
    <s v="BOLSAS X 100 50*60"/>
    <n v="303"/>
    <s v="PAQUETE X 100"/>
    <n v="5600"/>
    <n v="1064"/>
    <n v="2019192"/>
    <x v="37"/>
  </r>
  <r>
    <x v="10"/>
    <s v="COM003"/>
    <s v="ADQUISICIÓN DE ELEMENTOS PARA LA PREVENCIÓN DEL CONTAGIO DEL COVID 19”"/>
    <s v="2020/03/20"/>
    <s v="2020/03/20"/>
    <n v="21078782"/>
    <n v="0"/>
    <s v="SUMINISTROS INTEGRALES G&amp;E SAS"/>
    <n v="900406714"/>
    <s v="GUANTE NITRILO X 100 TALLA L MARCA PROTEX"/>
    <n v="12"/>
    <s v="CAJA X 100"/>
    <n v="18487"/>
    <n v="3512.53"/>
    <n v="263994.36"/>
    <x v="10"/>
  </r>
  <r>
    <x v="10"/>
    <s v="COM003"/>
    <s v="ADQUISICIÓN DE ELEMENTOS PARA LA PREVENCIÓN DEL CONTAGIO DEL COVID 19”"/>
    <s v="2020/03/20"/>
    <s v="2020/03/20"/>
    <n v="21078782"/>
    <n v="0"/>
    <s v="SUMINISTROS INTEGRALES G&amp;E SAS"/>
    <n v="900406714"/>
    <s v="JABON LIQUIDO ANTIBACTERIALAVENA BERHLAN"/>
    <n v="190"/>
    <s v="LITRO"/>
    <n v="3557.2105263157896"/>
    <n v="675.87"/>
    <n v="804285.3"/>
    <x v="5"/>
  </r>
  <r>
    <x v="10"/>
    <s v="COM003"/>
    <s v="ADQUISICIÓN DE ELEMENTOS PARA LA PREVENCIÓN DEL CONTAGIO DEL COVID 19”"/>
    <s v="2020/03/20"/>
    <s v="2020/03/20"/>
    <n v="21078782"/>
    <n v="0"/>
    <s v="SUMINISTROS INTEGRALES G&amp;E SAS"/>
    <n v="900406714"/>
    <s v="ATOMIZADOR ECONOMICO DE 500 CC"/>
    <n v="4"/>
    <s v="UNIDAD"/>
    <n v="2251.21"/>
    <n v="427.72989999999999"/>
    <n v="10715.759599999999"/>
    <x v="20"/>
  </r>
  <r>
    <x v="10"/>
    <s v="COM003"/>
    <s v="ADQUISICIÓN DE ELEMENTOS PARA LA PREVENCIÓN DEL CONTAGIO DEL COVID 19”"/>
    <s v="2020/03/20"/>
    <s v="2020/03/20"/>
    <n v="21078782"/>
    <n v="0"/>
    <s v="SUMINISTROS INTEGRALES G&amp;E SAS"/>
    <n v="900406714"/>
    <s v="TAPABOCAS DESECHABLE MARCA RYMCO"/>
    <n v="1500"/>
    <s v="UNIDAD"/>
    <n v="582.3528"/>
    <n v="110.647032"/>
    <n v="1039499.7479999999"/>
    <x v="3"/>
  </r>
  <r>
    <x v="10"/>
    <s v="COM003"/>
    <s v="ADQUISICIÓN DE ELEMENTOS PARA LA PREVENCIÓN DEL CONTAGIO DEL COVID 19”"/>
    <s v="2020/03/20"/>
    <s v="2020/03/20"/>
    <n v="21078782"/>
    <n v="0"/>
    <s v="SUMINISTROS INTEGRALES G&amp;E SAS"/>
    <n v="900406714"/>
    <s v="FRASCO CON TAPA DOSIFICADORA"/>
    <n v="5"/>
    <s v="UNIDAD"/>
    <n v="6303.33"/>
    <n v="1197.6327000000001"/>
    <n v="37504.813500000004"/>
    <x v="20"/>
  </r>
  <r>
    <x v="10"/>
    <s v="COM003"/>
    <s v="ADQUISICIÓN DE ELEMENTOS PARA LA PREVENCIÓN DEL CONTAGIO DEL COVID 19”"/>
    <s v="2020/03/20"/>
    <s v="2020/03/20"/>
    <n v="21078782"/>
    <n v="0"/>
    <s v="SUMINISTROS INTEGRALES G&amp;E SAS"/>
    <n v="900406714"/>
    <s v="PISTOLA ATOMIZADORA"/>
    <n v="12"/>
    <s v="UNIDAD"/>
    <n v="2974"/>
    <n v="565.06000000000006"/>
    <n v="42468.72"/>
    <x v="20"/>
  </r>
  <r>
    <x v="10"/>
    <s v="COM003"/>
    <s v="ADQUISICIÓN DE ELEMENTOS PARA LA PREVENCIÓN DEL CONTAGIO DEL COVID 19”"/>
    <s v="2020/03/20"/>
    <s v="2020/03/20"/>
    <n v="21078782"/>
    <n v="0"/>
    <s v="SUMINISTROS INTEGRALES G&amp;E SAS"/>
    <n v="900406714"/>
    <s v="GUANTE NITRILO X 100 TALLA M MARCA PROTEX"/>
    <n v="5"/>
    <s v="CAJA X 100"/>
    <n v="18487"/>
    <n v="3512.53"/>
    <n v="109997.65"/>
    <x v="10"/>
  </r>
  <r>
    <x v="10"/>
    <s v="COM003"/>
    <s v="ADQUISICIÓN DE ELEMENTOS PARA LA PREVENCIÓN DEL CONTAGIO DEL COVID 19”"/>
    <s v="2020/03/20"/>
    <s v="2020/03/20"/>
    <n v="21078782"/>
    <n v="0"/>
    <s v="SUMINISTROS INTEGRALES G&amp;E SAS"/>
    <n v="900406714"/>
    <s v="GLOSANIT 30 CUÑETE X 20 LTS"/>
    <n v="20"/>
    <s v="LITRO"/>
    <n v="12653.846000000001"/>
    <n v="2404.2307400000004"/>
    <n v="301161.53480000002"/>
    <x v="46"/>
  </r>
  <r>
    <x v="10"/>
    <s v="COM003"/>
    <s v="ADQUISICIÓN DE ELEMENTOS PARA LA PREVENCIÓN DEL CONTAGIO DEL COVID 19”"/>
    <s v="2020/03/20"/>
    <s v="2020/03/20"/>
    <n v="21078782"/>
    <n v="0"/>
    <s v="SUMINISTROS INTEGRALES G&amp;E SAS"/>
    <n v="900406714"/>
    <s v="JUMBO BLANCO HOJA SENCILLA X 220 MT FSC"/>
    <n v="1200"/>
    <s v="ROLLO"/>
    <n v="1284.4166666666667"/>
    <n v="244.03916666666669"/>
    <n v="1834147"/>
    <x v="29"/>
  </r>
  <r>
    <x v="10"/>
    <s v="COM003"/>
    <s v="ADQUISICIÓN DE ELEMENTOS PARA LA PREVENCIÓN DEL CONTAGIO DEL COVID 19”"/>
    <s v="2020/03/20"/>
    <s v="2020/03/20"/>
    <n v="21078782"/>
    <n v="0"/>
    <s v="SUMINISTROS INTEGRALES G&amp;E SAS"/>
    <n v="900406714"/>
    <s v="TOALLAS MANO DOBLADA EN Z NATURAL TRIPLE HOJA 150 TOALLAS"/>
    <n v="72"/>
    <s v="PAQUETE"/>
    <n v="5389"/>
    <n v="1023.91"/>
    <n v="461729.52"/>
    <x v="8"/>
  </r>
  <r>
    <x v="10"/>
    <s v="COM003"/>
    <s v="ADQUISICIÓN DE ELEMENTOS PARA LA PREVENCIÓN DEL CONTAGIO DEL COVID 19”"/>
    <s v="2020/03/20"/>
    <s v="2020/03/20"/>
    <n v="21078782"/>
    <n v="0"/>
    <s v="SUMINISTROS INTEGRALES G&amp;E SAS"/>
    <n v="900406714"/>
    <s v="TOALLA DE MANO PREC X 100 MTS CERTIFICADA FSC M FAMILIA"/>
    <n v="360"/>
    <s v="ROLLO"/>
    <n v="15913"/>
    <n v="3023.4700000000003"/>
    <n v="6817129.2000000002"/>
    <x v="8"/>
  </r>
  <r>
    <x v="10"/>
    <s v="COM003"/>
    <s v="ADQUISICIÓN DE ELEMENTOS PARA LA PREVENCIÓN DEL CONTAGIO DEL COVID 19”"/>
    <s v="2020/03/20"/>
    <s v="2020/03/20"/>
    <n v="21078782"/>
    <n v="0"/>
    <s v="SUMINISTROS INTEGRALES G&amp;E SAS"/>
    <n v="900406714"/>
    <s v="FAMITEX PAÑOS SEMIDESECHABLES BLANCO CX4 PAQ PAQ  X 50 PAÑOS"/>
    <n v="2400"/>
    <s v="UNIDAD"/>
    <n v="578.22"/>
    <n v="109.8618"/>
    <n v="1651396.32"/>
    <x v="47"/>
  </r>
  <r>
    <x v="10"/>
    <s v="COM003"/>
    <s v="ADQUISICIÓN DE ELEMENTOS PARA LA PREVENCIÓN DEL CONTAGIO DEL COVID 19”"/>
    <s v="2020/03/20"/>
    <s v="2020/03/20"/>
    <n v="21078782"/>
    <n v="0"/>
    <s v="SUMINISTROS INTEGRALES G&amp;E SAS"/>
    <n v="900406714"/>
    <s v="JABON LIQUIDO X 1000 ML "/>
    <n v="126"/>
    <s v="LITRO"/>
    <n v="25205"/>
    <n v="4788.95"/>
    <n v="3779237.7"/>
    <x v="5"/>
  </r>
  <r>
    <x v="10"/>
    <s v="COM003"/>
    <s v="ADQUISICIÓN DE ELEMENTOS PARA LA PREVENCIÓN DEL CONTAGIO DEL COVID 19”"/>
    <s v="2020/03/20"/>
    <s v="2020/03/20"/>
    <n v="21078782"/>
    <n v="0"/>
    <s v="SUMINISTROS INTEGRALES G&amp;E SAS"/>
    <n v="900406714"/>
    <s v="OVEROL NO ESTERIL"/>
    <n v="300"/>
    <s v="UNIDAD"/>
    <n v="10650"/>
    <n v="2023.5"/>
    <n v="3802050"/>
    <x v="0"/>
  </r>
  <r>
    <x v="10"/>
    <s v="COM004"/>
    <s v="ADQUISICIÓN DE ELEMENTOS PARA LA PREVENCIÓN DEL CONTAGIO DEL COVID 19"/>
    <s v="2020/03/25"/>
    <s v="2020/03/25"/>
    <n v="10499998"/>
    <n v="0"/>
    <s v="ECCOCLEAN SAS"/>
    <n v="901260145"/>
    <s v="LIQUIDO ANTIBACTERIAL GLICERADO"/>
    <n v="350"/>
    <s v="LITRO"/>
    <n v="25210.080000000002"/>
    <n v="4789.9152000000004"/>
    <n v="10499998.32"/>
    <x v="4"/>
  </r>
  <r>
    <x v="10"/>
    <s v="COM005"/>
    <s v="ADQUISICIÓN DE ELEMENTOS PARA LA PREVENCIÓN DEL CONTAGIO DEL COVID 19"/>
    <s v="2020/03/25"/>
    <s v="2020/03/25"/>
    <n v="1081500"/>
    <n v="0"/>
    <s v="IVAN DARIO CARMONA LOPEZ"/>
    <n v="15354493"/>
    <s v="CAJAS DE GUANTES NITRILO T.L X 1000 UND"/>
    <n v="40"/>
    <s v="CAJA X 100"/>
    <n v="21260.504199999999"/>
    <n v="4039.4957979999999"/>
    <n v="1011999.99992"/>
    <x v="10"/>
  </r>
  <r>
    <x v="10"/>
    <s v="COM005"/>
    <s v="ADQUISICIÓN DE ELEMENTOS PARA LA PREVENCIÓN DEL CONTAGIO DEL COVID 19"/>
    <s v="2020/03/25"/>
    <s v="2020/03/25"/>
    <n v="1081500"/>
    <n v="0"/>
    <s v="IVAN DARIO CARMONA LOPEZ"/>
    <n v="15354493"/>
    <s v="BOLSAS SOLAPA 13X19 POR 100 UND"/>
    <n v="5"/>
    <s v="PAQUETE X 100"/>
    <n v="4621.84"/>
    <n v="878.14960000000008"/>
    <n v="27499.948"/>
    <x v="37"/>
  </r>
  <r>
    <x v="10"/>
    <s v="COM005"/>
    <s v="ADQUISICIÓN DE ELEMENTOS PARA LA PREVENCIÓN DEL CONTAGIO DEL COVID 19"/>
    <s v="2020/03/25"/>
    <s v="2020/03/25"/>
    <n v="1081500"/>
    <n v="0"/>
    <s v="IVAN DARIO CARMONA LOPEZ"/>
    <n v="15354493"/>
    <s v="BOLSAS CIERRE 18X22 POR 100 UND"/>
    <n v="6"/>
    <s v="PAQUETE X 100"/>
    <n v="5882.35"/>
    <n v="1117.6465000000001"/>
    <n v="41999.978999999999"/>
    <x v="37"/>
  </r>
  <r>
    <x v="10"/>
    <s v="COM006"/>
    <s v="ADQUISICIÓN DE ELEMENTOS PARA LA PREVENCIÓN DEL CONTAGIO DEL COVID 19"/>
    <s v="2020/03/25"/>
    <s v="2020/03/25"/>
    <n v="6426000"/>
    <n v="0"/>
    <s v="EMPRESA INDUSTRIA DE CONFECCIONES MONKYDU S.A.S."/>
    <n v="901212927"/>
    <s v="MASCARILLA EN TELA POLITEX"/>
    <n v="3000"/>
    <s v="UNIDAD"/>
    <n v="1800"/>
    <n v="342"/>
    <n v="6426000"/>
    <x v="3"/>
  </r>
  <r>
    <x v="10"/>
    <s v="COM007"/>
    <s v="ADQUISICIÓN DE ELEMENTOS PARA LA PREVENCIÓN DEL CONTAGIO DEL COVID 19"/>
    <s v="2020/04/17"/>
    <s v="2020/04/17"/>
    <n v="15999997"/>
    <n v="0"/>
    <s v="ECCOCLEAN SAS"/>
    <n v="901260145"/>
    <s v="LIQUIDO ANTIBACTERIAL ALCOHOL GLICERADO X 1000 ML"/>
    <n v="400"/>
    <s v="LITRO"/>
    <n v="21008.400000000001"/>
    <n v="3991.5960000000005"/>
    <n v="9999998.4000000004"/>
    <x v="4"/>
  </r>
  <r>
    <x v="10"/>
    <s v="COM007"/>
    <s v="ADQUISICIÓN DE ELEMENTOS PARA LA PREVENCIÓN DEL CONTAGIO DEL COVID 19"/>
    <s v="2020/04/17"/>
    <s v="2020/04/17"/>
    <n v="15999997"/>
    <n v="0"/>
    <s v="ECCOCLEAN SAS"/>
    <n v="901260145"/>
    <s v="GEL ANTIBACTERIAL A BASE DE ALCOHOL AL 96%"/>
    <n v="300"/>
    <s v="LITRO"/>
    <n v="16806.72"/>
    <n v="3193.2768000000001"/>
    <n v="5999999.04"/>
    <x v="4"/>
  </r>
  <r>
    <x v="10"/>
    <s v="COM008"/>
    <s v="ADQUISICIÓN DE ELEMENTOS PARA LA PREVENCIÓN DEL CONTAGIO DEL COVID 19"/>
    <d v="2020-04-17T00:00:00"/>
    <d v="2020-04-17T00:00:00"/>
    <n v="12500000"/>
    <n v="0"/>
    <s v="INDUSTRIAS DE CONFECCIONES MONKYDU SAS"/>
    <n v="901212927"/>
    <s v="TRAJES DE PROTECCION FABRICADO EN POLIETILENO (CHAQUETA, PANTALON CON RESORTE EN LA CINTURA, BOTAS ANATOMICAS CON CAUCHO DE AJUSTE)"/>
    <n v="500"/>
    <s v="UNIDAD"/>
    <n v="21008.403399999999"/>
    <n v="3991.596646"/>
    <n v="12500000.023"/>
    <x v="0"/>
  </r>
  <r>
    <x v="10"/>
    <s v="SER010"/>
    <s v="DESINFECCIÓN AMBIENTAL DE SEDES JUDICIALES DEL DISTRITO JUDICIAL DE MONTERÍA ENCAMINADA A LA DESTRUCCIÓN DE LOS MICROORGANISMOS PATÓGENOS COMO BACTERIAS, VIRUS Y HONGOS MEDIANTE LA UTILIZACIÓN DE PRODUCTOS QUÍMICOS APLICADOS POR MÉTODO DE ASPERSION Y NEBULIZACIÓN"/>
    <s v="2020/04/01"/>
    <s v="2020/04/01"/>
    <n v="75000000"/>
    <n v="0"/>
    <s v="EMPRESA GRUPO FRANKA FSI SAS"/>
    <n v="900306020"/>
    <s v="DESINFECCION AMBIENTALPOR ASPERSION Y NEBULIZACION DE JUZGADOS Y OFICINAS"/>
    <n v="30000"/>
    <s v="METROS CUBICOS"/>
    <n v="2100.840336134454"/>
    <n v="399.15966386554624"/>
    <n v="75000000"/>
    <x v="39"/>
  </r>
  <r>
    <x v="10"/>
    <s v="COM013"/>
    <s v="SUMINISTRO DE DISPENSADORES PORTATILES DE GEL CON PEDAL E INSUMOS PARA FORTALECER LA MEDIDAS DE PREVENCIÓN DEL CONTAGIO Y DE LA PROPAGACION DEL COVID -19"/>
    <d v="2020-06-02T00:00:00"/>
    <d v="2020-06-02T00:00:00"/>
    <n v="4000000"/>
    <n v="0"/>
    <s v="PORRAS CONSTRUCTORES &amp; ASOCIADOS SAS"/>
    <n v="901059820"/>
    <s v="DISPENSADORES DE PEDAL PARA GEL ANTIBACTERIAL EN ACERO INOXIDABLE"/>
    <n v="22"/>
    <s v="UNIDAD"/>
    <n v="134453.78"/>
    <n v="25546.218199999999"/>
    <n v="3519999.9604000002"/>
    <x v="12"/>
  </r>
  <r>
    <x v="10"/>
    <s v="COM013"/>
    <s v="SUMINISTRO DE DISPENSADORES PORTATILES DE GEL CON PEDAL E INSUMOS PARA FORTALECER LA MEDIDAS DE PREVENCIÓN DEL CONTAGIO Y DE LA PROPAGACION DEL COVID -19"/>
    <d v="2020-06-02T00:00:00"/>
    <d v="2020-06-02T00:00:00"/>
    <n v="4000000"/>
    <n v="0"/>
    <s v="PORRAS CONSTRUCTORES &amp; ASOCIADOS SAS"/>
    <n v="901059820"/>
    <s v="GEL ANTIBACTERIAL X 1L"/>
    <n v="24"/>
    <s v="LITRO"/>
    <n v="16806.73"/>
    <n v="3193.2786999999998"/>
    <n v="480000.20879999996"/>
    <x v="4"/>
  </r>
  <r>
    <x v="10"/>
    <s v="COM014"/>
    <s v="COMPRA DE ELEMENTOS DE PROTECCIÓN PERSONAL Y OTROS IMPLEMENTOS, TALES COMO BARRERA ANTIFLUIDO EN ACRILICO, GUANTES DE NITRILO, GAFAS DE SEGURIDAD, LAVAMANO INDUSTRIAL PORTATIL PEDAL AGUA Y JABON Y TERMOMETROS INFRARROJOS PARA FORTALECER LA MEDIDAS DE PREVENCIÓN DEL CONTAGIO Y DE LA PROPAGACION_x000a_DEL COVID -19 DEL CONTAGIO Y DE LA PROPAGACION DEL COVID 19"/>
    <d v="2020-06-04T00:00:00"/>
    <d v="2020-06-04T00:00:00"/>
    <n v="39927000"/>
    <n v="0"/>
    <s v="TPI INGENIERIA Y SUMINISTROS SAS"/>
    <n v="901031972"/>
    <s v="BARRERA ANTIFLUIDO EN ACRILICO 120X100 CM CHASIS O SOPORTE METALICO SP CRISTAL 4MM"/>
    <n v="50"/>
    <s v="UNIDAD"/>
    <n v="300000"/>
    <n v="57000"/>
    <n v="17850000"/>
    <x v="13"/>
  </r>
  <r>
    <x v="10"/>
    <s v="COM014"/>
    <s v="COMPRA DE ELEMENTOS DE PROTECCIÓN PERSONAL Y OTROS IMPLEMENTOS, TALES COMO BARRERA ANTIFLUIDO EN ACRILICO, GUANTES DE NITRILO, GAFAS DE SEGURIDAD, LAVAMANO INDUSTRIAL PORTATIL PEDAL AGUA Y JABON Y TERMOMETROS INFRARROJOS PARA FORTALECER LA MEDIDAS DE PREVENCIÓN DEL CONTAGIO Y DE LA PROPAGACION_x000a_DEL COVID -19 DEL CONTAGIO Y DE LA PROPAGACION DEL COVID 19"/>
    <d v="2020-06-04T00:00:00"/>
    <d v="2020-06-04T00:00:00"/>
    <n v="39927000"/>
    <n v="0"/>
    <s v="TPI INGENIERIA Y SUMINISTROS SAS"/>
    <n v="901031972"/>
    <s v="LAVAMANOS INDUSTRIAL PORTATIL PEDAL AGUA Y JABON"/>
    <n v="3"/>
    <s v="UNIDAD"/>
    <n v="1100000"/>
    <n v="209000"/>
    <n v="3927000"/>
    <x v="9"/>
  </r>
  <r>
    <x v="10"/>
    <s v="COM014"/>
    <s v="COMPRA DE ELEMENTOS DE PROTECCIÓN PERSONAL Y OTROS IMPLEMENTOS, TALES COMO BARRERA ANTIFLUIDO EN ACRILICO, GUANTES DE NITRILO, GAFAS DE SEGURIDAD, LAVAMANO INDUSTRIAL PORTATIL PEDAL AGUA Y JABON Y TERMOMETROS INFRARROJOS PARA FORTALECER LA MEDIDAS DE PREVENCIÓN DEL CONTAGIO Y DE LA PROPAGACION_x000a_DEL COVID -19 DEL CONTAGIO Y DE LA PROPAGACION DEL COVID 19"/>
    <d v="2020-06-04T00:00:00"/>
    <d v="2020-06-04T00:00:00"/>
    <n v="39927000"/>
    <n v="0"/>
    <s v="TPI INGENIERIA Y SUMINISTROS SAS"/>
    <n v="901031972"/>
    <s v="GUANTES DE NITRILO CAJA X 100 UNIDADES"/>
    <n v="80"/>
    <s v="CAJA X 100"/>
    <n v="45000"/>
    <n v="0"/>
    <n v="3600000"/>
    <x v="10"/>
  </r>
  <r>
    <x v="10"/>
    <s v="COM014"/>
    <s v="COMPRA DE ELEMENTOS DE PROTECCIÓN PERSONAL Y OTROS IMPLEMENTOS, TALES COMO BARRERA ANTIFLUIDO EN ACRILICO, GUANTES DE NITRILO, GAFAS DE SEGURIDAD, LAVAMANO INDUSTRIAL PORTATIL PEDAL AGUA Y JABON Y TERMOMETROS INFRARROJOS PARA FORTALECER LA MEDIDAS DE PREVENCIÓN DEL CONTAGIO Y DE LA PROPAGACION_x000a_DEL COVID -19 DEL CONTAGIO Y DE LA PROPAGACION DEL COVID 19"/>
    <d v="2020-06-04T00:00:00"/>
    <d v="2020-06-04T00:00:00"/>
    <n v="39927000"/>
    <n v="0"/>
    <s v="TPI INGENIERIA Y SUMINISTROS SAS"/>
    <n v="901031972"/>
    <s v="GAFAS DE SEGURIDAD X UNIDAD"/>
    <n v="300"/>
    <s v="UNIDAD"/>
    <n v="10000"/>
    <n v="0"/>
    <n v="3000000"/>
    <x v="2"/>
  </r>
  <r>
    <x v="10"/>
    <s v="COM014"/>
    <s v="COMPRA DE ELEMENTOS DE PROTECCIÓN PERSONAL Y OTROS IMPLEMENTOS, TALES COMO BARRERA ANTIFLUIDO EN ACRILICO, GUANTES DE NITRILO, GAFAS DE SEGURIDAD, LAVAMANO INDUSTRIAL PORTATIL PEDAL AGUA Y JABON Y TERMOMETROS INFRARROJOS PARA FORTALECER LA MEDIDAS DE PREVENCIÓN DEL CONTAGIO Y DE LA PROPAGACION_x000a_DEL COVID -19 DEL CONTAGIO Y DE LA PROPAGACION DEL COVID 19"/>
    <d v="2020-06-04T00:00:00"/>
    <d v="2020-06-04T00:00:00"/>
    <n v="39927000"/>
    <n v="0"/>
    <s v="TPI INGENIERIA Y SUMINISTROS SAS"/>
    <n v="901031972"/>
    <s v="TERMOMETROS INFRAROJOS"/>
    <n v="30"/>
    <s v="UNIDAD"/>
    <n v="385000"/>
    <n v="0"/>
    <n v="11550000"/>
    <x v="22"/>
  </r>
  <r>
    <x v="10"/>
    <s v="COM015"/>
    <s v="COMPRA DE PRODUCTOS DE ASEO Y ELEMENTOS DE PROTECCIÓN PERSONAL TALES COMO TAPABOCAS,_x000a_ALCOHOL GLICERADO, GEL ANTIBACTERIAL PARA FORTALECER LA MEDIDAS DE PREVENCIÓN DEL CONTAGIO Y DE LA PROPAGACION DEL COVID -19"/>
    <d v="2020-06-05T00:00:00"/>
    <d v="2020-06-05T00:00:00"/>
    <n v="131250000"/>
    <n v="0"/>
    <s v="FUNDACIÓN SANTIAGO EL MAYOR"/>
    <n v="901220553"/>
    <s v="TAPABOCAS ANTIFLUIDO ELASTICO FABRICACION NACIONAL"/>
    <n v="72000"/>
    <s v="UNIDAD"/>
    <n v="1150"/>
    <n v="0"/>
    <n v="82800000"/>
    <x v="3"/>
  </r>
  <r>
    <x v="10"/>
    <s v="COM015"/>
    <s v="COMPRA DE PRODUCTOS DE ASEO Y ELEMENTOS DE PROTECCIÓN PERSONAL TALES COMO TAPABOCAS,_x000a_ALCOHOL GLICERADO, GEL ANTIBACTERIAL PARA FORTALECER LA MEDIDAS DE PREVENCIÓN DEL CONTAGIO Y DE LA PROPAGACION DEL COVID -19"/>
    <d v="2020-06-05T00:00:00"/>
    <d v="2020-06-05T00:00:00"/>
    <n v="131250000"/>
    <n v="0"/>
    <s v="FUNDACIÓN SANTIAGO EL MAYOR"/>
    <n v="901220553"/>
    <s v="ALCOHOL GLICERINADO CON REGISTRO INVIMA X LT"/>
    <n v="1500"/>
    <s v="LITRO"/>
    <n v="17800"/>
    <n v="0"/>
    <n v="26700000"/>
    <x v="4"/>
  </r>
  <r>
    <x v="10"/>
    <s v="COM015"/>
    <s v="COMPRA DE PRODUCTOS DE ASEO Y ELEMENTOS DE PROTECCIÓN PERSONAL TALES COMO TAPABOCAS,_x000a_ALCOHOL GLICERADO, GEL ANTIBACTERIAL PARA FORTALECER LA MEDIDAS DE PREVENCIÓN DEL CONTAGIO Y DE LA PROPAGACION DEL COVID -19"/>
    <d v="2020-06-05T00:00:00"/>
    <d v="2020-06-05T00:00:00"/>
    <n v="131250000"/>
    <n v="0"/>
    <s v="FUNDACIÓN SANTIAGO EL MAYOR"/>
    <n v="901220553"/>
    <s v="GEL ANTIBACTERIAL CON REGISTRO INVIMA X LT}"/>
    <n v="1500"/>
    <s v="LITRO"/>
    <n v="14500"/>
    <n v="0"/>
    <n v="21750000"/>
    <x v="4"/>
  </r>
  <r>
    <x v="10"/>
    <s v="SER014"/>
    <s v="FASE FINAL DEL PROYECTO ADECUACIONES EN EDIFICIO PALACIO DE JUSTICIA EN PRO DE LA MITIGACION DE LA PROPAGACION DEL COVID 19 "/>
    <d v="2020-05-26T00:00:00"/>
    <d v="2020-05-26T00:00:00"/>
    <n v="30414385"/>
    <n v="0"/>
    <s v="ARMANDO RAFAEL BULA OTERO"/>
    <n v="78761321"/>
    <s v="FASE FINAL DEL PROYECTO ADECUACIONES EN EDIFICIO PALACIO DE JUSTICIA EN PRO DE LA MITIGACION DE LA PROPAGACION DEL COVID 19 "/>
    <n v="1"/>
    <s v="GLOBAL"/>
    <n v="30188750"/>
    <n v="225635"/>
    <n v="30414385"/>
    <x v="25"/>
  </r>
  <r>
    <x v="10"/>
    <s v="SER-020"/>
    <s v="PRESTACION DEL SERVICIO DE PERSONAL DE APOYO A LA GESTION (VIGIAS DE LA SALUD) PARA VELAR POR EL CUMPLIMIENTO DE LOS PROTOCOLOS DE BIOSEGURIDAD ESTABLECIDOS POR LA RAMA JUDICIAL Y FORTALECER LAS MEDIDAS DE PREVENCION DEL CONTAGIO Y PROPAGACION DEL COVID 19"/>
    <d v="2020-06-16T00:00:00"/>
    <d v="2020-06-16T00:00:00"/>
    <n v="139955340"/>
    <n v="0"/>
    <s v="EMPRESA EFECTIVA EST SS"/>
    <n v="812002952"/>
    <s v="PERSONAL DE APOYO PARA LA GESTION (POR 6 MESES)"/>
    <n v="14"/>
    <s v="VALOR MENSUAL POR PERSONA"/>
    <n v="1666135"/>
    <n v="0"/>
    <n v="139955340"/>
    <x v="6"/>
  </r>
  <r>
    <x v="10"/>
    <s v="011-2020"/>
    <s v="COMPRA DE GUANTES DE NITRILO Y BOLSAS CON CIERRE HERMÉTICO PARA FORTALECER LA MEDIDAS DE PREVENCIÓN_x000a_DEL CONTAGIO Y DE LA PROPAGACION DEL COVID -19"/>
    <d v="2020-05-22T00:00:00"/>
    <d v="2020-05-22T00:00:00"/>
    <n v="28720000"/>
    <n v="0"/>
    <s v="BOLSAS Y DESECHABLES CARMONA_x000a_NIT."/>
    <n v="15354493"/>
    <s v="GUANTES DE NITRILO TALLA M-L CAJA X 100 UND"/>
    <n v="630"/>
    <s v="CAJA X 100"/>
    <n v="45000"/>
    <n v="0"/>
    <n v="28350000"/>
    <x v="10"/>
  </r>
  <r>
    <x v="10"/>
    <s v="011-2020"/>
    <s v="COMPRA DE GUANTES DE NITRILO Y BOLSAS CON CIERRE HERMÉTICO PARA FORTALECER LA MEDIDAS DE PREVENCIÓN_x000a_DEL CONTAGIO Y DE LA PROPAGACION DEL COVID -19"/>
    <d v="2020-05-22T00:00:00"/>
    <d v="2020-05-22T00:00:00"/>
    <n v="28720000"/>
    <n v="0"/>
    <s v="BOLSAS Y DESECHABLES CARMONA_x000a_NIT."/>
    <n v="15354493"/>
    <s v="GUANTES DE NITRILO TALLA M-L CAJA X 100 UND"/>
    <n v="4"/>
    <s v="CAJA X 100"/>
    <n v="25000"/>
    <n v="0"/>
    <n v="100000"/>
    <x v="10"/>
  </r>
  <r>
    <x v="10"/>
    <s v="011-2020"/>
    <s v="COMPRA DE GUANTES DE NITRILO Y BOLSAS CON CIERRE HERMÉTICO PARA FORTALECER LA MEDIDAS DE PREVENCIÓN_x000a_DEL CONTAGIO Y DE LA PROPAGACION DEL COVID -19"/>
    <d v="2020-05-22T00:00:00"/>
    <d v="2020-05-22T00:00:00"/>
    <n v="28720000"/>
    <n v="0"/>
    <s v="BOLSAS Y DESECHABLES CARMONA_x000a_NIT."/>
    <n v="15354493"/>
    <s v="BOLSA CIERRE HERMETICO 30X40 X 100 UND"/>
    <n v="5"/>
    <s v="PAQUETE X 100"/>
    <n v="18487.399999999998"/>
    <n v="3512.6059999999998"/>
    <n v="110000.02999999998"/>
    <x v="37"/>
  </r>
  <r>
    <x v="10"/>
    <s v="011-2020"/>
    <s v="COMPRA DE GUANTES DE NITRILO Y BOLSAS CON CIERRE HERMÉTICO PARA FORTALECER LA MEDIDAS DE PREVENCIÓN_x000a_DEL CONTAGIO Y DE LA PROPAGACION DEL COVID -19"/>
    <d v="2020-05-22T00:00:00"/>
    <d v="2020-05-22T00:00:00"/>
    <n v="28720000"/>
    <n v="0"/>
    <s v="BOLSAS Y DESECHABLES CARMONA_x000a_NIT."/>
    <n v="15354493"/>
    <s v="BOLSA CIERRE HERMETICO 30X48 X 100 UND"/>
    <n v="5"/>
    <s v="PAQUETE X 100"/>
    <n v="26890.76"/>
    <n v="5109.2443999999996"/>
    <n v="160000.022"/>
    <x v="37"/>
  </r>
  <r>
    <x v="10"/>
    <s v="012-2020"/>
    <s v="ADQUISICIÓN, DISTRIBUCION E INSTALACIÓN DE DIADEMAS Y CAMARAS WEB PARA LOS DESPACHOS JUDICIALES Y TRIBUNALES DEL DISTRITO JUDICIAL DE MONTERÍA"/>
    <d v="2020-05-29T00:00:00"/>
    <d v="2020-05-29T00:00:00"/>
    <n v="64800000"/>
    <n v="0"/>
    <s v="COMPU DF SAS"/>
    <n v="901315614"/>
    <s v="DIADEMAS USB"/>
    <n v="160"/>
    <s v="UNIDAD"/>
    <n v="176470.59"/>
    <n v="33529.412100000001"/>
    <n v="33600000.335999995"/>
    <x v="19"/>
  </r>
  <r>
    <x v="10"/>
    <s v="012-2020"/>
    <s v="ADQUISICIÓN, DISTRIBUCION E INSTALACIÓN DE DIADEMAS Y CAMARAS WEB PARA LOS DESPACHOS JUDICIALES Y TRIBUNALES DEL DISTRITO JUDICIAL DE MONTERÍA"/>
    <d v="2020-05-29T00:00:00"/>
    <d v="2020-05-29T00:00:00"/>
    <n v="64800000"/>
    <n v="0"/>
    <s v="COMPU DF SAS"/>
    <n v="901315614"/>
    <s v="WEB CAM USB"/>
    <n v="160"/>
    <s v="UNIDAD"/>
    <n v="163865.54999999999"/>
    <n v="31134.4545"/>
    <n v="31200000.719999999"/>
    <x v="18"/>
  </r>
  <r>
    <x v="10"/>
    <s v="ORDEN COMPRAS 54739"/>
    <s v="CONTRATAR LA COMPRA DE ELEMENTOS DE PROTECCIÓN PERSONAL TALES COMO GAFAS PROTECTORAS, PARA FORTALECER LA MEDIDAS DE PREVENCIÓN DEL CONTAGIO Y DE LA PROPAGACION DEL COVID -19"/>
    <d v="2020-09-04T00:00:00"/>
    <d v="2020-09-09T00:00:00"/>
    <n v="2344500"/>
    <n v="0"/>
    <s v="H3S SAS"/>
    <s v="900850351-1"/>
    <s v="GAFAS PROTECTORAS"/>
    <n v="396"/>
    <s v="UNIDAD"/>
    <n v="4708.333333333333"/>
    <n v="0"/>
    <n v="1864499.9999999998"/>
    <x v="2"/>
  </r>
  <r>
    <x v="10"/>
    <s v="ORDEN COMPRAS 54945"/>
    <s v="CONTRATAR LA COMPRA DE ELEMENTOS DE PROTECCIÓN PERSONAL TALES COMO GUANTES DE NITRILO, CAJAS X 100 UNIDADES CADA UNA, PARA FORTALECER LA MEDIDAS DE PREVENCIÓN DEL CONTAGIO Y DE LA PROPAGACION DEL COVID -19"/>
    <d v="2020-09-10T00:00:00"/>
    <d v="2020-09-14T00:00:00"/>
    <n v="7802320.6500000004"/>
    <n v="7802320.6500000004"/>
    <s v="EUROCOSSET"/>
    <s v="811032857-4"/>
    <s v="GUANTES DE NITRILO"/>
    <n v="190"/>
    <s v="CAJA X 100"/>
    <n v="39150"/>
    <n v="0"/>
    <n v="7438500"/>
    <x v="10"/>
  </r>
  <r>
    <x v="10"/>
    <s v="ORDEN COMPRAS 54946"/>
    <s v="CONTRATAR LA COMPRA DE ELEMENTOS DE PROTECCIÓN PERSONAL TALES COMO TAPABOCAS DESECHABLES, CAJAS X 100 UNIDADES CADA UNA PARA, PARA FORTALECER LA MEDIDAS DE PREVENCIÓN DEL CONTAGIO Y DE LA PROPAGACION DEL COVID -19"/>
    <d v="2020-09-10T00:00:00"/>
    <d v="2020-09-15T00:00:00"/>
    <n v="5430000"/>
    <n v="5430000"/>
    <s v="IMPOCOSER SAS"/>
    <s v="811032857-4"/>
    <s v="TAPABOCAS DESECHABLES"/>
    <n v="300"/>
    <s v="UNIDAD"/>
    <n v="14900"/>
    <n v="0"/>
    <n v="4470000"/>
    <x v="3"/>
  </r>
  <r>
    <x v="10"/>
    <s v="ORDEN COMPRAS 55641"/>
    <s v="CONTRATAR LA COMPRA DE ELEMENTOS DE ASEO  TALES COMO ALCOHOL ISOPROPILICO 70% EN GEL PARA ANTISEPSIAS DE MANOS FCX LTS, PARA FORTALECER LA MEDIDAS DE PREVENCIÓN DEL CONTAGIO Y DE LA PROPAGACION DEL COVID -19"/>
    <d v="2020-09-24T00:00:00"/>
    <d v="2020-09-30T00:00:00"/>
    <n v="7675228"/>
    <n v="0"/>
    <s v="TENSOACTIVOS SG SAS"/>
    <s v="805023381-7"/>
    <s v="ALCOHOL ISOPROPILICO 70% EN GEL"/>
    <n v="1000"/>
    <s v="LITRO"/>
    <n v="5939"/>
    <n v="0"/>
    <n v="5939000"/>
    <x v="4"/>
  </r>
  <r>
    <x v="10"/>
    <s v="ORDEN COMPRAS 55642"/>
    <s v="CONTRATAR LA COMPRA DE ELEMENTOS DE ASEO  TALES COMO TOALLAS PARA MANO, PARA FORTALECER LA MEDIDAS DE PREVENCIÓN DEL CONTAGIO Y DE LA PROPAGACION DEL COVID -19"/>
    <d v="2020-09-24T00:00:00"/>
    <d v="2020-09-25T00:00:00"/>
    <n v="1637560"/>
    <n v="0"/>
    <s v="SUMIMAS SAS"/>
    <s v="830001338-1"/>
    <s v="TOALLAS PARA MANOS"/>
    <n v="400"/>
    <s v="PAQUETE"/>
    <n v="2810"/>
    <n v="533.9"/>
    <n v="1337560"/>
    <x v="8"/>
  </r>
  <r>
    <x v="10"/>
    <s v="ORDEN COMPRAS 55643"/>
    <s v="CONTRATAR LA COMPRA DE ELEMENTOS DE ASEO  TALES COMO JABON LIQUIDO X 500 ML, PARA FORTALECER LA MEDIDAS DE PREVENCIÓN DEL CONTAGIO Y DE LA PROPAGACION DEL COVID -19"/>
    <d v="2020-09-24T00:00:00"/>
    <d v="2020-09-25T00:00:00"/>
    <n v="3130000"/>
    <n v="0"/>
    <s v="QUIMANT SAS"/>
    <s v="830108770-1"/>
    <s v="JABON LIQUIDO"/>
    <n v="1000"/>
    <s v="LITRO"/>
    <n v="2200"/>
    <n v="0"/>
    <n v="2200000"/>
    <x v="5"/>
  </r>
  <r>
    <x v="10"/>
    <s v="ORDEN COMPRAS 55653"/>
    <s v="CONTRATAR LA COMPRA DE ELEMENTOS DE ASEO  TALES COMO DISPENSADOR TOALLAS PARA MANOS, PARA FORTALECER LA MEDIDAS DE PREVENCIÓN DEL CONTAGIO Y DE LA PROPAGACION DEL COVID -19"/>
    <d v="2020-09-24T00:00:00"/>
    <d v="2020-09-30T00:00:00"/>
    <n v="1076800"/>
    <n v="0"/>
    <s v="JM GRUPO EMPRESARIAL SAS"/>
    <s v="900353659-2"/>
    <s v="DISPENSADOR TOALLAS DE MANOS"/>
    <n v="12"/>
    <s v="UNIDAD"/>
    <n v="60000"/>
    <n v="11400"/>
    <n v="856800"/>
    <x v="12"/>
  </r>
  <r>
    <x v="10"/>
    <s v="COM022 DE 2020"/>
    <s v="CONTRATAR LA COMPRA DE ELEMENTOS DE ASEO TALES COMO PAPELERAS DE RESIDUOS BIO-PELIGROSOS, CON PEDAL, DE 25 LTS, COLOR ROJAS,  PISTOLAS O FRASCOS ATOMIZADORES CAPACIDAD 1000 ML Y AMONIO CUATERNARIO 5TA GEN PIMPINA POR 20 LITROS, PARA FORTALECER LA MEDIDAS DE PREVENCIÓN DEL CONTAGIO Y DE LA PROPAGACION DEL COVID -19"/>
    <d v="2020-10-22T00:00:00"/>
    <d v="2020-10-30T00:00:00"/>
    <n v="2962800"/>
    <n v="0"/>
    <s v="LIBRERÍA MARY T SAS"/>
    <s v="900814166-2"/>
    <s v="PAPELERAS DE RIESGOS BIOLÓGICOS, CON PEDAL, DE 25 LTS, COLOR ROJAS"/>
    <n v="70"/>
    <s v="UNIDAD"/>
    <n v="32353"/>
    <n v="6147.07"/>
    <n v="2695004.9"/>
    <x v="15"/>
  </r>
  <r>
    <x v="10"/>
    <s v="COM022 DE 2020"/>
    <s v="CONTRATAR LA COMPRA DE ELEMENTOS DE ASEO TALES COMO PAPELERAS DE RESIDUOS BIO-PELIGROSOS, CON PEDAL, DE 25 LTS, COLOR ROJAS,  PISTOLAS O FRASCOS ATOMIZADORES CAPACIDAD 1000 ML Y AMONIO CUATERNARIO 5TA GEN PIMPINA POR 20 LITROS, PARA FORTALECER LA MEDIDAS DE PREVENCIÓN DEL CONTAGIO Y DE LA PROPAGACION DEL COVID -19"/>
    <d v="2020-10-22T00:00:00"/>
    <d v="2020-10-30T00:00:00"/>
    <n v="2962800"/>
    <n v="0"/>
    <s v="LIBRERÍA MARY T SAS"/>
    <s v="900814166-2"/>
    <s v="GLOSANIT AMONIO CUATERNARIO 5TA GEN 20 LTS"/>
    <n v="40"/>
    <s v="LITROS"/>
    <n v="2595"/>
    <n v="0"/>
    <n v="103800"/>
    <x v="42"/>
  </r>
  <r>
    <x v="10"/>
    <s v="COM022 DE 2020"/>
    <s v="CONTRATAR  LA COMPRA DE ELEMENTOS DE ASEO TALES COMO PAPELERAS DE RESIDUOS BIO-PELIGROSOS, CON PEDAL, DE 25 LTS, COLOR ROJAS,  PISTOLAS O FRASCOS ATOMIZADORES CAPACIDAD 1000 ML Y AMONIO CUATERNARIO 5TA GEN PIMPINA POR 20 LITROS, PARA FORTALECER LA MEDIDAS DE PREVENCIÓN DEL CONTAGIO Y DE LA PROPAGACION DEL COVID -19"/>
    <d v="2020-10-22T00:00:00"/>
    <d v="2020-10-30T00:00:00"/>
    <n v="2962800"/>
    <n v="0"/>
    <s v="LIBRERÍA MARY T SAS"/>
    <s v="900814166-2"/>
    <s v="PISTOLAS O FRASCOS ATOMIZADORES CAPACIDAD 1000 ML"/>
    <n v="40"/>
    <s v="UNIDAD"/>
    <n v="3445.3781512605042"/>
    <n v="654.62184873949582"/>
    <n v="164000"/>
    <x v="20"/>
  </r>
  <r>
    <x v="10"/>
    <s v="ORDEN DE COMPRAS 60635"/>
    <s v="CONTRATAR  LA COMPRA DE ELEMENTOS DE ASEO TALES COMO JABON LIQUIDO X 500 ML, PARA FORTALECER LA MEDIDAS DE PREVENCIÓN DEL CONTAGIO Y DE LA PROPAGACION DEL COVID -19"/>
    <d v="2020-12-03T00:00:00"/>
    <d v="2020-12-09T00:00:00"/>
    <n v="5206249"/>
    <n v="0"/>
    <s v="AKRAW QUIMICA SAS"/>
    <s v="900795834-1"/>
    <s v="JABON LIQUIDO"/>
    <n v="1000"/>
    <s v="LITRO"/>
    <n v="3790"/>
    <n v="0"/>
    <n v="3790000"/>
    <x v="5"/>
  </r>
  <r>
    <x v="10"/>
    <s v="ORDEN DE COMPRAS 60643"/>
    <s v="CONTRATAR LA COMPRA DE ELEMENTOS DE ASEO  TALES COMO ALCOHOL ISOPROPILICO 70% EN GEL PARA ANTISEPSIAS DE MANOS FCX LTS, PARA FORTALECER LA MEDIDAS DE PREVENCIÓN DEL CONTAGIO Y DE LA PROPAGACION DEL COVID -19"/>
    <d v="2020-12-03T00:00:00"/>
    <d v="2020-12-07T00:00:00"/>
    <n v="26380000"/>
    <n v="0"/>
    <s v="QUIMANT SAS"/>
    <s v="830108770-1"/>
    <s v="ALCOHOL ISOPROPILICO 70% EN GEL"/>
    <n v="2500"/>
    <s v="LITRO"/>
    <n v="6420"/>
    <n v="0"/>
    <n v="16050000"/>
    <x v="4"/>
  </r>
  <r>
    <x v="10"/>
    <s v="ORDEN DE COMPRAS 60643"/>
    <s v="CONTRATAR LA COMPRA DE ELEMENTOS DE ASEO  TALES COMO GEL ANTIBACTERIAL FRASCOS X LITROS, PARA FORTALECER LA MEDIDAS DE PREVENCIÓN DEL CONTAGIO Y DE LA PROPAGACION DEL COVID -19"/>
    <d v="2020-12-03T00:00:00"/>
    <d v="2020-12-07T00:00:00"/>
    <n v="26380000"/>
    <n v="0"/>
    <s v="QUIMANT SAS"/>
    <s v="830108770-1"/>
    <s v="GEL ANTIBACTERIAL"/>
    <n v="1000"/>
    <s v="LITRO"/>
    <n v="4070"/>
    <n v="0"/>
    <n v="4070000"/>
    <x v="4"/>
  </r>
  <r>
    <x v="10"/>
    <s v="ORDEN DE COMPRAS 60644"/>
    <s v="CONTRATAR LA COMPRA DE ELEMENTOS DE ASEO  TALES COMO DISPENSADOR TOALLAS PARA MANOS, PARA FORTALECER LA MEDIDAS DE PREVENCIÓN DEL CONTAGIO Y DE LA PROPAGACION DEL COVID -19"/>
    <d v="2020-12-03T00:00:00"/>
    <d v="2020-12-07T00:00:00"/>
    <n v="7971420"/>
    <n v="0"/>
    <s v="SUMIMAS SAS"/>
    <s v="830001338-1"/>
    <s v="TOALLAS PARA MANOS"/>
    <n v="2000"/>
    <s v="PAQUETE"/>
    <n v="3349.3361344537798"/>
    <n v="636.37386554621821"/>
    <n v="7971419.9999999963"/>
    <x v="8"/>
  </r>
  <r>
    <x v="10"/>
    <s v="ORDEN DE COMPRAS 60645"/>
    <s v="CONTRATAR LA COMPRA DE ELEMENTOS DE ASEO  TALES COMO BOLSAS BIO-PELIGROSAS CAJAS X 50 UNIDADES, PARA FORTALECER LA MEDIDAS DE PREVENCIÓN DEL CONTAGIO Y DE LA PROPAGACION DEL COVID -19"/>
    <d v="2020-12-03T00:00:00"/>
    <d v="2020-12-09T00:00:00"/>
    <n v="3700750"/>
    <n v="0"/>
    <s v="BON SANTE SAS"/>
    <s v="901211678-7"/>
    <s v="BOLSAS BIO-PELIGROSAS PARA RESIDUOS"/>
    <n v="250"/>
    <s v="PAQUETE X 100"/>
    <n v="11700"/>
    <n v="2223"/>
    <n v="3480750"/>
    <x v="37"/>
  </r>
  <r>
    <x v="10"/>
    <s v="ORDEN DE COMPRAS 60768"/>
    <s v="CONTRATAR LA COMPRA DE ELEMENTOS DE PROTECCIÓN PERSONAL TALES COMO TAPABOCAS DESECHABLES, CAJAS X 100 UNIDADES CADA UNA PARA, PARA FORTALECER LA MEDIDAS DE PREVENCIÓN DEL CONTAGIO Y DE LA PROPAGACION DEL COVID -19"/>
    <d v="2020-12-04T00:00:00"/>
    <d v="2020-12-10T00:00:00"/>
    <n v="9790000"/>
    <n v="0"/>
    <s v="BACET GROUP SAS"/>
    <s v=" 900869049-5"/>
    <s v="TAPABOCAS DESECHABLES"/>
    <n v="1000"/>
    <s v="UNIDAD"/>
    <n v="8990"/>
    <n v="0"/>
    <n v="8990000"/>
    <x v="3"/>
  </r>
  <r>
    <x v="10"/>
    <s v="ORDEN DE COMPRAS 61153"/>
    <s v="CONTRATAR LA COMPRA DE ELEMENTOS DE PROTECCIÓN PERSONAL TALES COMO GUANTES DE NITRILO, CAJAS X 100 UNIDADES CADA UNA, PARA FORTALECER LA MEDIDAS DE PREVENCIÓN DEL CONTAGIO Y DE LA PROPAGACION DEL COVID -19"/>
    <d v="2020-12-10T00:00:00"/>
    <d v="2020-12-14T00:00:00"/>
    <n v="15510000"/>
    <n v="7755000"/>
    <s v="SERSUGEN SAS"/>
    <s v="900201322-4"/>
    <s v="GUANTES DE NITRILO"/>
    <n v="300"/>
    <s v="CAJA X 100"/>
    <n v="49800"/>
    <n v="0"/>
    <n v="14940000"/>
    <x v="10"/>
  </r>
  <r>
    <x v="10"/>
    <s v="COM027 DE 2020"/>
    <s v="CONTRATAR  LA COMPRA DE ELEMENTOS DE PROTECCION PERSONAL Y ASEO TALES COMO BARRERA EN ACRILICO ANTIFLUIDO, Y LAVAMANOS PORTATILES DE PEDAL EN ACERO INOXIDABLE, INCLUYE GRIFERIA, CAPACIDAD PARA 25 LITROS DE AGUA, SOPORTE PARA DISPENSADOR DE JABON, PAPELERA Y SOPORTE PARA TOALLAS DESECHABLES PARA FORTALECER LA MEDIDAS DE PREVENCIÓN DEL CONTAGIO Y DE LA PROPAGACION DEL COVID -19"/>
    <d v="2020-12-15T00:00:00"/>
    <d v="2020-12-16T00:00:00"/>
    <n v="24955000"/>
    <n v="0"/>
    <s v="INGECAD PARTS SAS"/>
    <s v="900594734-0"/>
    <s v="BARRERAS EN ACRILICO ANTIFLUIDO, CON SOPORTE EN ACRILICO DE ALTA DENSIDAD"/>
    <n v="30"/>
    <s v="UNIDAD"/>
    <n v="150000"/>
    <n v="28500"/>
    <n v="5355000"/>
    <x v="13"/>
  </r>
  <r>
    <x v="10"/>
    <s v="COM027 DE 2020"/>
    <s v="CONTRATAR  LA COMPRA DE ELEMENTOS DE PROTECCION PERSONAL Y ASEO TALES COMO BARRERA EN ACRILICO ANTIFLUIDO, Y LAVAMANOS PORTATILES DE PEDAL EN ACERO INOXIDABLE, INCLUYE GRIFERIA, CAPACIDAD PARA 25 LITROS DE AGUA, SOPORTE PARA DISPENSADOR DE JABON, PAPELERA Y SOPORTE PARA TOALLAS DESECHABLES PARA FORTALECER LA MEDIDAS DE PREVENCIÓN DEL CONTAGIO Y DE LA PROPAGACION DEL COVID -19"/>
    <d v="2020-12-15T00:00:00"/>
    <d v="2020-12-16T00:00:00"/>
    <n v="24955000"/>
    <n v="0"/>
    <s v="INGECAD PARTS SAS"/>
    <s v="900594734-0"/>
    <s v="LAVAMANOS PORTATILES DE PEDAL EN ACERO INOXIDABLE, MESA EN ACERO INOXIDABLE, SISTEMA DE RODAMIENTO, INCLUYE GRIFERÍA, CAPACIDAD PARA 25 LITROS DE AGUA, SOPORTE PARA DISPENSADOR DE JABON, PAPELERA Y SOPORTE PARA TOALLAS DESECHABLES"/>
    <n v="20"/>
    <s v="UNIDAD"/>
    <n v="823529"/>
    <n v="156470.51"/>
    <n v="19599990.199999999"/>
    <x v="9"/>
  </r>
  <r>
    <x v="11"/>
    <s v="12COM001-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19T00:00:00"/>
    <d v="2020-03-25T00:00:00"/>
    <n v="92450981"/>
    <n v="0"/>
    <s v="INCINERADOS DEL HUILA - INCIHUILA S.A E.S.P"/>
    <n v="813005241"/>
    <s v="TRAJE DE PROTECCION CORPORAL (TAIBER BLANCO)"/>
    <n v="400"/>
    <s v="UNIDAD"/>
    <n v="16807"/>
    <n v="3193.33"/>
    <n v="8000132.0000000009"/>
    <x v="0"/>
  </r>
  <r>
    <x v="11"/>
    <s v="12COM001-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19T00:00:00"/>
    <d v="2020-03-25T00:00:00"/>
    <n v="92450981"/>
    <n v="0"/>
    <s v="INCINERADOS DEL HUILA - INCIHUILA S.A E.S.P"/>
    <n v="813005241"/>
    <s v="GUANTE (NITRILO) TALLA M (DESECHABLES, HIPOALERGÉNICOS, NO ESTÉRILES, ALTA RESISTENCIA A LA ELONGACIÓN, LIBRE DE TALCO, AMBIDIESTROS, PUÑO CON REBORDE)"/>
    <n v="300"/>
    <s v="CAJA X 100"/>
    <n v="42017"/>
    <n v="7983.2300000000005"/>
    <n v="15000069.000000002"/>
    <x v="10"/>
  </r>
  <r>
    <x v="11"/>
    <s v="12COM001-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19T00:00:00"/>
    <d v="2020-03-25T00:00:00"/>
    <n v="92450981"/>
    <n v="0"/>
    <s v="INCINERADOS DEL HUILA - INCIHUILA S.A E.S.P"/>
    <n v="813005241"/>
    <s v="GUANTE (NITRILO) TALLA L (DESECHABLES, HIPOALERGÉNICOS, NO ESTÉRILES, ALTA RESISTENCIA A LA ELONGACIÓN, LIBRE DE TALCO, AMBIDIESTROS, PUÑO CON REBORDE)"/>
    <n v="300"/>
    <s v="CAJA X 100"/>
    <n v="42017"/>
    <n v="7983.2300000000005"/>
    <n v="15000069.000000002"/>
    <x v="10"/>
  </r>
  <r>
    <x v="11"/>
    <s v="12COM001-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19T00:00:00"/>
    <d v="2020-03-25T00:00:00"/>
    <n v="92450981"/>
    <n v="0"/>
    <s v="INCINERADOS DEL HUILA - INCIHUILA S.A E.S.P"/>
    <n v="813005241"/>
    <s v="TOALLAS DESECHAFLES (TOALLAS EN Z COLOR NATURAL) PQTE"/>
    <n v="1500"/>
    <s v="PAQUETE"/>
    <n v="6975"/>
    <n v="1325.25"/>
    <n v="12450375"/>
    <x v="8"/>
  </r>
  <r>
    <x v="11"/>
    <s v="12COM001-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19T00:00:00"/>
    <d v="2020-03-25T00:00:00"/>
    <n v="92450981"/>
    <n v="0"/>
    <s v="INCINERADOS DEL HUILA - INCIHUILA S.A E.S.P"/>
    <n v="813005241"/>
    <s v="GEL ANTIBACTERIAL "/>
    <n v="2280"/>
    <s v="LITRO"/>
    <n v="15480"/>
    <n v="2941.2"/>
    <n v="42000336"/>
    <x v="4"/>
  </r>
  <r>
    <x v="11"/>
    <s v="12COM002-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20T00:00:00"/>
    <d v="2020-03-30T00:00:00"/>
    <n v="20230000"/>
    <n v="0"/>
    <s v="ANA JOSEFA PANQUEBA NUÑEZ"/>
    <n v="51684220"/>
    <s v="LAVAMANOS PORTATILES  (TOTALMENTE AUTONOMO, CON TANQUES DE ALMACENAMIENTO DE RESIDUOS Y MOBILIARIOS EN ACERO INOXIDABLE  EN CALIBRE 20 LAMINA 30, NO REQUIERE NINGUN TIPO DE CONEXIÓN NI ALCANTARILLADO, INLCUYE BOMBA DE PISO DE MANOS LIBRES DE FABRICACION INGLESA, TANQUES DE ALMACENAMIENTO DE AGUA RESIDUAL Y POTABLE, CADA UNO DE 20 LITROS)ALTO 90 CMS X ANCHO43CMS X FONDO43CMS"/>
    <n v="10"/>
    <s v="UNIDAD"/>
    <n v="1700000"/>
    <n v="323000"/>
    <n v="20230000"/>
    <x v="9"/>
  </r>
  <r>
    <x v="11"/>
    <s v="12COM003-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20T00:00:00"/>
    <d v="2020-03-25T00:00:00"/>
    <n v="15600000"/>
    <n v="0"/>
    <s v="DMC ASESORIAS Y SUMINISTROS SAS"/>
    <n v="900920737"/>
    <s v="TAPABOCAS EN TELA ANTIFLUIDOS LAFAYETTE ALTA CALIDAD CON CAUCHO 7MM, COLOR BLANCO, EMPAQUE INDIVIDUAL BOLSA TRANSPARENTE EN PAQUETES DE 50 UNIDADES."/>
    <n v="6240"/>
    <s v="UNIDAD"/>
    <n v="2500"/>
    <n v="0"/>
    <n v="15600000"/>
    <x v="3"/>
  </r>
  <r>
    <x v="11"/>
    <s v="12COM004-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30T00:00:00"/>
    <d v="2020-04-01T00:00:00"/>
    <n v="12050000"/>
    <n v="0"/>
    <s v="CONEXIÓN JURIDICA-MONTES Y ASOCIADOS SAS"/>
    <n v="901002888"/>
    <s v="GEL ANTIBACTERIAL "/>
    <n v="300"/>
    <s v="LITRO"/>
    <n v="18000"/>
    <n v="0"/>
    <n v="5400000"/>
    <x v="4"/>
  </r>
  <r>
    <x v="11"/>
    <s v="12COM004-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30T00:00:00"/>
    <d v="2020-04-01T00:00:00"/>
    <n v="12050000"/>
    <n v="0"/>
    <s v="CONEXIÓN JURIDICA-MONTES Y ASOCIADOS SAS"/>
    <n v="901002888"/>
    <s v="JABON LIQUIDO PARA MANOS "/>
    <n v="700"/>
    <s v="LITRO"/>
    <n v="9500"/>
    <n v="0"/>
    <n v="6650000"/>
    <x v="5"/>
  </r>
  <r>
    <x v="11"/>
    <s v="12COM005-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30T00:00:00"/>
    <d v="2020-04-01T00:00:00"/>
    <n v="26949480"/>
    <n v="0"/>
    <s v="C I WARRIORS COMPANY SAS"/>
    <n v="900916649"/>
    <s v="ALCOHOL ANTISEPTICO"/>
    <n v="445.2"/>
    <s v="LITRO"/>
    <n v="17857.142857142859"/>
    <n v="0"/>
    <n v="7950000.0000000009"/>
    <x v="26"/>
  </r>
  <r>
    <x v="11"/>
    <s v="12COM005-2020"/>
    <s v="LA ADQUISICIÓN DE ELEMENTOS DE BIOSEGURIDAD PARA CUBRIR LA URGENCIA MANIFIESTA POR CAUSA DE LA ENFERMEDAD DENOMINADA COVID-19, COMÚNMENTE CONOCIDA COMO CORONAVIRUS, CATALOGADA POR LA ORGANIZACIÓN MUNDIAL DE LA SALUD COMO UNA EMERGENCIA EN SALUD PÚBLICA DE IMPACTO MUNDIAL, PARA LOS SERVIDORES JUDICIALES DE LA RAMA JUDICIAL DEL DISTRITO JUDICIAL DE NEIVA Y FLORENCIA"/>
    <d v="2020-03-30T00:00:00"/>
    <d v="2020-04-01T00:00:00"/>
    <n v="26949480"/>
    <n v="0"/>
    <s v="C I WARRIORS COMPANY SAS"/>
    <n v="900916649"/>
    <s v="DESINFECTANTE QUIRURGICO (SALES DE AMONIO CUATERNARIO (SOLUCION AL 80% AGUA- ALCOHOL): ALQUIL DIMETIL BENCIL CLORURO DE AMONIO, OCTIL, DECIL CLORURO DE AMONIO, DODECIL, DIMETIL CLORURO DE AMONIO Y DIOCTIL DIMETIL CLORURO DE AMONIO."/>
    <n v="400"/>
    <s v="LITRO"/>
    <n v="47500"/>
    <n v="0"/>
    <n v="19000000"/>
    <x v="46"/>
  </r>
  <r>
    <x v="11"/>
    <s v="12COM006-2020"/>
    <s v="ADQUISICIÓN DE ELEMENTOS DE PROTECCIÓN PERSONAL, ELEMENTOS DE ASEO Y EQUIPOS BIOMÉDICOS ANTE LA EMERGENCIA SANITARIA (CORONAVIRUS – COVID-19), PARA LOS SERVIDORES – FUNCIONARIOS DE LOS DISTRITOS JUDICIALES DE NEIVA Y FLORENCIA, POR URGENCIA MANIFIESTA."/>
    <d v="2020-05-20T00:00:00"/>
    <d v="2020-05-27T00:00:00"/>
    <n v="38340000"/>
    <n v="0"/>
    <s v="INCINERADOS DEL HUILA - INCIHUILA S.A E.S.P"/>
    <n v="813005241"/>
    <s v="GUANTES DE NITRILO M/L (DESECHABLES, HIPOALERGÉNICOS, NO ESTÉRILES, ALTA RESISTENCIA A LA ELONGACIÓN, LIBRE DE TALCO, AMBIDIESTROS, PUÑO CON REBORDE)"/>
    <n v="99"/>
    <s v="CAJA X 100"/>
    <n v="40000"/>
    <n v="0"/>
    <n v="3960000"/>
    <x v="10"/>
  </r>
  <r>
    <x v="11"/>
    <s v="12COM006-2020"/>
    <s v="ADQUISICIÓN DE ELEMENTOS DE PROTECCIÓN PERSONAL, ELEMENTOS DE ASEO Y EQUIPOS BIOMÉDICOS ANTE LA EMERGENCIA SANITARIA (CORONAVIRUS – COVID-19), PARA LOS SERVIDORES – FUNCIONARIOS DE LOS DISTRITOS JUDICIALES DE NEIVA Y FLORENCIA, POR URGENCIA MANIFIESTA."/>
    <d v="2020-05-20T00:00:00"/>
    <d v="2020-05-27T00:00:00"/>
    <n v="38340000"/>
    <n v="0"/>
    <s v="INCINERADOS DEL HUILA - INCIHUILA S.A E.S.P"/>
    <n v="813005241"/>
    <s v="TOALLAS INTERDOBLADAS  (DOBLE HOJA CON UN TAMAÑO MÍNIMO DE 20 CM DE LARGO POR 15 CM DE ANCHO (PAQUETE)"/>
    <n v="3500"/>
    <s v="PAQUETE"/>
    <n v="5200"/>
    <n v="0"/>
    <n v="18200000"/>
    <x v="8"/>
  </r>
  <r>
    <x v="11"/>
    <s v="12COM006-2020"/>
    <s v="ADQUISICIÓN DE ELEMENTOS DE PROTECCIÓN PERSONAL, ELEMENTOS DE ASEO Y EQUIPOS BIOMÉDICOS ANTE LA EMERGENCIA SANITARIA (CORONAVIRUS – COVID-19), PARA LOS SERVIDORES – FUNCIONARIOS DE LOS DISTRITOS JUDICIALES DE NEIVA Y FLORENCIA, POR URGENCIA MANIFIESTA."/>
    <d v="2020-05-20T00:00:00"/>
    <d v="2020-05-27T00:00:00"/>
    <n v="38340000"/>
    <n v="0"/>
    <s v="INCINERADOS DEL HUILA - INCIHUILA S.A E.S.P"/>
    <n v="813005241"/>
    <s v="GAFAS DE PROTECCION UNIDAD (UNILENTE DE PROTECCION TRANSPARENTE)"/>
    <n v="600"/>
    <s v="UNIDAD"/>
    <n v="7000"/>
    <n v="0"/>
    <n v="4200000"/>
    <x v="2"/>
  </r>
  <r>
    <x v="11"/>
    <s v="12COM006-2020"/>
    <s v="ADQUISICIÓN DE ELEMENTOS DE PROTECCIÓN PERSONAL, ELEMENTOS DE ASEO Y EQUIPOS BIOMÉDICOS ANTE LA EMERGENCIA SANITARIA (CORONAVIRUS – COVID-19), PARA LOS SERVIDORES – FUNCIONARIOS DE LOS DISTRITOS JUDICIALES DE NEIVA Y FLORENCIA, POR URGENCIA MANIFIESTA."/>
    <d v="2020-05-20T00:00:00"/>
    <d v="2020-05-27T00:00:00"/>
    <n v="38340000"/>
    <n v="0"/>
    <s v="INCINERADOS DEL HUILA - INCIHUILA S.A E.S.P"/>
    <n v="813005241"/>
    <s v="TERMOMETRO INFRAROJO DIGITAL DE DOBLE SENSOR DE ALTA SENSIBILIDAD"/>
    <n v="8"/>
    <s v="UNIDAD"/>
    <n v="360000"/>
    <n v="0"/>
    <n v="2880000"/>
    <x v="22"/>
  </r>
  <r>
    <x v="11"/>
    <s v="12COM006-2020"/>
    <s v="ADQUISICIÓN DE ELEMENTOS DE PROTECCIÓN PERSONAL, ELEMENTOS DE ASEO Y EQUIPOS BIOMÉDICOS ANTE LA EMERGENCIA SANITARIA (CORONAVIRUS – COVID-19), PARA LOS SERVIDORES – FUNCIONARIOS DE LOS DISTRITOS JUDICIALES DE NEIVA Y FLORENCIA, POR URGENCIA MANIFIESTA."/>
    <d v="2020-05-20T00:00:00"/>
    <d v="2020-05-27T00:00:00"/>
    <n v="38340000"/>
    <n v="0"/>
    <s v="INCINERADOS DEL HUILA - INCIHUILA S.A E.S.P"/>
    <n v="813005241"/>
    <s v="TERMOMETRO DIGITAL PARED - INTELIGENTE ( SIN CONTACTO USO INSTITUCIONAL, MIDE LA TEMPERATURA SIN NECESIDAD DE SOSTENERLO, COLGADO EN CUALQUIER SUPERFICIE USANDO CINTA O UN SOPORTE. SIN NECESIDAD DE CONTACTO CON SUPERFICIES, EVITA INFECCIONES CRUZADAS, INCLUYE BATARIA DE LITIO Y CABLE CONECTOR DE USB DE ALIMENTACION  CONTIENE   MÉTODO DE MEDICIÓN: SIN CONTACTO CON LA FRENTE DEL TERMÓMETRO INFRARROJO ℃ Y ℉. ALARMA AUTOMÁTICA PARA TEMPERATURA ANORMAL: DESTELLOS DE LUZ ROJA, SONIDO DE ALARMA CONTINUA, DISTANCIA: 5 ~ 10 CM, EN ESPERA: 5S, PANTALLA DIGITAL, TEMPERATURA DE MEDICIÓN: 0 ~ 80 GRADOS ℃, TEMPERATURA AMBIENTE: 5 ~ 45 GRADOS ℃,  TIEMPO DE RESPUESTA: 500 MS . )"/>
    <n v="7"/>
    <s v="UNIDAD"/>
    <n v="1300000"/>
    <n v="0"/>
    <n v="9100000"/>
    <x v="22"/>
  </r>
  <r>
    <x v="11"/>
    <s v="12COM007-2020"/>
    <s v="ADQUISICIÓN DE ELEMENTOS DE PROTECCIÓN PERSONAL, ELEMENTOS DE ASEO Y EQUIPOS BIOMÉDICOS ANTE LA EMERGENCIA SANITARIA (CORONAVIRUS – COVID-19), PARA LOS SERVIDORES – FUNCIONARIOS DE LOS DISTRITOS JUDICIALES DE NEIVA Y FLORENCIA, POR URGENCIA MANIFIESTA."/>
    <d v="2020-05-20T00:00:00"/>
    <d v="2020-05-27T00:00:00"/>
    <n v="9683640"/>
    <n v="0"/>
    <s v="INTEGRAL SERVICES &amp; SOLUTIONS S. A. S. INSSOL S. A. S"/>
    <n v="830094214"/>
    <s v="GEL ANTIBACTERIAL FC X1LT (ALCOHOL ISOPROPILICO 70% EN GEL PARA ANTISEPSIA DE MANOS, ALCOHOL ISOPROPILICO EN GEL PARA ANTISEPSIA DE MANOS, 70ML+2G/100ML)"/>
    <n v="342"/>
    <s v="LITRO"/>
    <n v="13500"/>
    <n v="0"/>
    <n v="4617000"/>
    <x v="4"/>
  </r>
  <r>
    <x v="11"/>
    <s v="12COM007-2020"/>
    <s v="ADQUISICIÓN DE ELEMENTOS DE PROTECCIÓN PERSONAL, ELEMENTOS DE ASEO Y EQUIPOS BIOMÉDICOS ANTE LA EMERGENCIA SANITARIA (CORONAVIRUS – COVID-19), PARA LOS SERVIDORES – FUNCIONARIOS DE LOS DISTRITOS JUDICIALES DE NEIVA Y FLORENCIA, POR URGENCIA MANIFIESTA."/>
    <d v="2020-05-20T00:00:00"/>
    <d v="2020-05-27T00:00:00"/>
    <n v="9683640"/>
    <n v="0"/>
    <s v="INTEGRAL SERVICES &amp; SOLUTIONS S. A. S. INSSOL S. A. S"/>
    <n v="830094214"/>
    <s v="DISPENSADOR DE TOALLAS DESECHAFLES INTERDOBLADAS  (DESCRIPCIÓN GENERAL: DISPENSADOR PARA COLOCAR PAPEL TOALLA INTERDOBLADA, BASE NEGRA Y TAPA NÍQUEL CON UN RANURA PARA OBSERVAR CONSUMO DE PAPEL. RECOMENDADO PARA LUGARES DE ALTA ROTACIÓN Y W.C. PÚBLICOS.  COMPONENTES Y MATERIALES:  - FABRICADO EN ABS TODOS LOS COMPONENTES - FABRICADO EN ABS LA TAPA CON RECUBRIMIENTO CON NÍQUEL-BARNIZ, - CERRADURA DE SEGURIDAD LÍNEA FUTURA  CACAIDAD : PARA MINIMO 150 TOALLAS)"/>
    <n v="40"/>
    <s v="UNIDAD"/>
    <n v="76666"/>
    <n v="0"/>
    <n v="3066640"/>
    <x v="12"/>
  </r>
  <r>
    <x v="11"/>
    <s v="12COM007-2020"/>
    <s v="ADQUISICIÓN DE ELEMENTOS DE PROTECCIÓN PERSONAL, ELEMENTOS DE ASEO Y EQUIPOS BIOMÉDICOS ANTE LA EMERGENCIA SANITARIA (CORONAVIRUS – COVID-19), PARA LOS SERVIDORES – FUNCIONARIOS DE LOS DISTRITOS JUDICIALES DE NEIVA Y FLORENCIA, POR URGENCIA MANIFIESTA."/>
    <d v="2020-05-20T00:00:00"/>
    <d v="2020-05-27T00:00:00"/>
    <n v="9683640"/>
    <n v="0"/>
    <s v="INTEGRAL SERVICES &amp; SOLUTIONS S. A. S. INSSOL S. A. S"/>
    <n v="830094214"/>
    <s v="DISPENSADOR DE JABON DE 500 ML ; ES IDEAL PARA DOSIFICAR PRODUCTOS COMO JABON LIQUIDO CARACTERISTICAS DE PRODUCTO; FABRICADO EN POLIPROPILENO DE ALTO IMPACTO, RESISTENTE A LOS GOLPES, FACIL DE INSTALAR CON VALVULA ANTOGOTEO"/>
    <n v="40"/>
    <s v="UNIDAD"/>
    <n v="50000"/>
    <n v="0"/>
    <n v="2000000"/>
    <x v="12"/>
  </r>
  <r>
    <x v="11"/>
    <s v="12COM008-2020"/>
    <s v="ADQUISICIÓN DE ELEMENTOS DE PROTECCIÓN PERSONAL, ELEMENTOS DE ASEO Y EQUIPOS BIOMÉDICOS ANTE LA EMERGENCIA SANITARIA (CORONAVIRUS – COVID-19), PARA LOS SERVIDORES – FUNCIONARIOS DE LOS DISTRITOS JUDICIALES DE NEIVA Y FLORENCIA, POR URGENCIA MANIFIESTA."/>
    <d v="2020-05-22T00:00:00"/>
    <d v="2020-05-27T00:00:00"/>
    <n v="9978900"/>
    <n v="0"/>
    <s v="SERVINDUSTRIALES DEL HUILA S.A.S."/>
    <n v="900347045"/>
    <s v="LAVAMANOS PORTATIL TOTALMENTE AUTONOMO ( CON TANQUES DE ALMACENAMIENTO DE RESIDUOS Y MOBILIARIO EN ACERO INOXIDABLE SCOTT 304 CALIBRE 24 CON ESTRUCTURA EN TUBO DE 1”. POZUELO REDONDO EN ACERO INOXIDABLE, GRIFERÍA EN ACERO INOXIDABLE. NO REQUIEREN NINGÚN TIPO DE CONEXIÓN NI ALCANTARILLADO. ADICIONALMENTE INCLUYE: DISPENSADOR DE JABÓN, DISPENSADOR DE TOALLAS ELABORADOS EN ABC.  EL LAVAMANOS INCLUYE: BOMBA DE PISO MANOS LIBRES, TANQUES DE ALMACENAMIENTO DE AGUA RESIDUAL Y POTABLE CADA UNO DE 30 LITROS.,_x000a_MEDIDAS: 90 CM DE ALTO X 43,5 CM ANCHO X 41.1 FONDO"/>
    <n v="6"/>
    <s v="UNIDAD"/>
    <n v="1085000"/>
    <n v="206150"/>
    <n v="7746900"/>
    <x v="9"/>
  </r>
  <r>
    <x v="11"/>
    <s v="12COM008-2020"/>
    <s v="ADQUISICIÓN DE ELEMENTOS DE PROTECCIÓN PERSONAL, ELEMENTOS DE ASEO Y EQUIPOS BIOMÉDICOS ANTE LA EMERGENCIA SANITARIA (CORONAVIRUS – COVID-19), PARA LOS SERVIDORES – FUNCIONARIOS DE LOS DISTRITOS JUDICIALES DE NEIVA Y FLORENCIA, POR URGENCIA MANIFIESTA."/>
    <d v="2020-05-22T00:00:00"/>
    <d v="2020-05-27T00:00:00"/>
    <n v="9978900"/>
    <n v="0"/>
    <s v="SERVINDUSTRIALES DEL HUILA S.A.S."/>
    <n v="900347045"/>
    <s v="SOPORTE DISPENSADOR GEL ANTIBACTERIAL  (SOPORTE METALICO ACCIONADO CON PEDAL, ESPECIAL PARA CONTENER FRASCO DE 500ML, CON UN USO PUSH APLICA LA CANTIDAD ADEUCDA DE PRODUCTO. DISPENSADO DE ANTIMATERIAL PORTÁTIL EN TUBO ESTRUCTURA HR DE 1” MEDIDAS: 1.20 CM ALTO SOPORTE EN PISO TIPO H PEDAL EN LAMINA ALFAJOR MECANISMO CON SOPORTE DE ALTA PRESIÓN PINTURA ESMALTADA COLOR PLATA)"/>
    <n v="16"/>
    <s v="UNIDAD"/>
    <n v="117226.8907"/>
    <n v="22273.109232999999"/>
    <n v="2231999.9989280002"/>
    <x v="12"/>
  </r>
  <r>
    <x v="11"/>
    <s v="12COM009-2020"/>
    <s v="ADQUISICIÓN DE ELEMENTOS DE PROTECCIÓN PERSONAL, ELEMENTOS DE ASEO, Y EQUIPOS BIOMÉDICOS ANTE LA EMERGENCIA SANITARIA (CORONAVIRUS- COVID-19), PARA LOS SERVIDORES – FUNCIONARIOS DE LOS DISTRITOS JUDICIALES DE NEIVA Y FLORENCIA, POR URGENCIA MANIFIESTA"/>
    <d v="2020-05-27T00:00:00"/>
    <d v="2020-06-03T00:00:00"/>
    <n v="87780000"/>
    <n v="0"/>
    <s v="INFANTILES YASTING S.A.S"/>
    <n v="900490455"/>
    <s v="TAPABOCAS 2 TELAS: PRIMERA CAPA: TELA ANTI FLUIDOS LAFAYETTE CLORORESISTENTE ANTIMICROBIAL COMPOSICIÓN: TELA 100% FILAMENTO DE POLIÉSTER.COLOR DISPONIBLE: BLANCO Y AZUL OSCURO.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SEGUNDA CAPA: TEJIDO PUNTO HYDROTECH ANTIBACTERIAL, CON ELÁSTICO DE 4MM. COMPOSICIÓN: TELA 100% FILAMENTO DE POLIÉSTER.  BASE PERTENECIENTE AL PROGRAMA DE ETIQUETAS  PROTECCIÓN SOLAR.  EXCELENTE STRETCH (ELONGACIÓN) MECÁNICO.  TECNOLOGÍA DESARROLLADA DESDE LA CONSTRUCCIÓN DEL HILO Y TEJEDURÍA, ABSORBE POR EL LADO DE CONTACTO CON LA PIEL, TRANSPORTA Y EVAPORA RÁPIDAMENTE LA HUMEDAD DEL CUERPO POR EL LADO EXTERIOR MANTENIENDO SECO Y CÓMODO.  TECNOLOGÍA: + TRANSPIRABILIDAD  TEJIDO TIPO MALLA CON PEQUEÑOS ORIFICIOS QUE PERMITEN LA RESPIRABILIDAD DE LA PRENDA "/>
    <n v="26692"/>
    <s v="UNIDAD"/>
    <n v="2500"/>
    <n v="0"/>
    <n v="66730000"/>
    <x v="3"/>
  </r>
  <r>
    <x v="11"/>
    <s v="12COM009-2020"/>
    <s v="ADQUISICIÓN DE ELEMENTOS DE PROTECCIÓN PERSONAL, ELEMENTOS DE ASEO, Y EQUIPOS BIOMÉDICOS ANTE LA EMERGENCIA SANITARIA (CORONAVIRUS- COVID-19), PARA LOS SERVIDORES – FUNCIONARIOS DE LOS DISTRITOS JUDICIALES DE NEIVA Y FLORENCIA, POR URGENCIA MANIFIESTA"/>
    <d v="2020-05-27T00:00:00"/>
    <d v="2020-06-03T00:00:00"/>
    <n v="87780000"/>
    <n v="0"/>
    <s v="INFANTILES YASTING S.A.S"/>
    <n v="900490455"/>
    <s v="BATA TIPO CIRUJANO TALLA S: A LA ALTURA DE LA RODILLA, TELA 100% POLIÉSTER ANTI FLUIDOS CLORO RESISTENTE ANTIMICROBIAL, MANGA LARGA, PUÑO AJUSTADO EN RESORTE, CUELLO REDONDO EN RESORTE, CIERRE DE 70CM DIENTES N°7, LOGO PARTE IZQUIERDA ESTAMPADO Y BORDADO. EMPAQUE INDIVIDUAL. COMPOSICIÓN TELA ANTI FLUIDOS: TELA 100% FILAMENTO DE POLIÉSTER. COMPOSICIÓN TELA ANTI FLUIDOS: TELA 100% FILAMENTO DE POLIÉSTER.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COMPOSICIÓN RESORTE: 65% POLIÉSTER 35% ALGODÓN.   COLOR BLANCO-POR UNIDAD"/>
    <n v="30"/>
    <s v="UNIDAD"/>
    <n v="60000"/>
    <n v="0"/>
    <n v="1800000"/>
    <x v="34"/>
  </r>
  <r>
    <x v="11"/>
    <s v="12COM009-2020"/>
    <s v="ADQUISICIÓN DE ELEMENTOS DE PROTECCIÓN PERSONAL, ELEMENTOS DE ASEO, Y EQUIPOS BIOMÉDICOS ANTE LA EMERGENCIA SANITARIA (CORONAVIRUS- COVID-19), PARA LOS SERVIDORES – FUNCIONARIOS DE LOS DISTRITOS JUDICIALES DE NEIVA Y FLORENCIA, POR URGENCIA MANIFIESTA"/>
    <d v="2020-05-27T00:00:00"/>
    <d v="2020-06-03T00:00:00"/>
    <n v="87780000"/>
    <n v="0"/>
    <s v="INFANTILES YASTING S.A.S"/>
    <n v="900490455"/>
    <s v="BATA TIPO CIRUJANO TALLA M: A LA ALTURA DE LA RODILLA, TELA 100% POLIÉSTER ANTI FLUIDOS CLORO RESISTENTE ANTIMICROBIAL, MANGA LARGA, PUÑO AJUSTADO EN RESORTE, CUELLO REDONDO EN RESORTE, CIERRE DE 70CM DIENTES N°7, LOGO PARTE IZQUIERDA ESTAMPADO Y BORDADO. EMPAQUE INDIVIDUAL. COMPOSICIÓN TELA ANTI FLUIDOS: TELA 100% FILAMENTO DE POLIÉSTER. COMPOSICIÓN TELA ANTI FLUIDOS: TELA 100% FILAMENTO DE POLIÉSTER.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COMPOSICIÓN RESORTE: 65% POLIÉSTER 35% ALGODÓN.   COLOR BLANCO-POR UNIDAD"/>
    <n v="50"/>
    <s v="UNIDAD"/>
    <n v="60000"/>
    <n v="0"/>
    <n v="3000000"/>
    <x v="34"/>
  </r>
  <r>
    <x v="11"/>
    <s v="12COM009-2020"/>
    <s v="ADQUISICIÓN DE ELEMENTOS DE PROTECCIÓN PERSONAL, ELEMENTOS DE ASEO, Y EQUIPOS BIOMÉDICOS ANTE LA EMERGENCIA SANITARIA (CORONAVIRUS- COVID-19), PARA LOS SERVIDORES – FUNCIONARIOS DE LOS DISTRITOS JUDICIALES DE NEIVA Y FLORENCIA, POR URGENCIA MANIFIESTA"/>
    <d v="2020-05-27T00:00:00"/>
    <d v="2020-06-03T00:00:00"/>
    <n v="87780000"/>
    <n v="0"/>
    <s v="INFANTILES YASTING S.A.S"/>
    <n v="900490455"/>
    <s v="BATA TIPO CIRUJANO TALLA L: A LA ALTURA DE LA RODILLA, TELA 100% POLIÉSTER ANTI FLUIDOS CLORO RESISTENTE ANTIMICROBIAL, MANGA LARGA, PUÑO AJUSTADO EN RESORTE, CUELLO REDONDO EN RESORTE, CIERRE DE 70CM DIENTES N°7, LOGO PARTE IZQUIERDA ESTAMPADO Y BORDADO. EMPAQUE INDIVIDUAL. COMPOSICIÓN TELA ANTI FLUIDOS: TELA 100% FILAMENTO DE POLIÉSTER. COMPOSICIÓN TELA ANTI FLUIDOS: TELA 100% FILAMENTO DE POLIÉSTER.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COMPOSICIÓN RESORTE: 65% POLIÉSTER 35% ALGODÓN.   COLOR BLANCO-POR UNIDAD"/>
    <n v="200"/>
    <s v="UNIDAD"/>
    <n v="65000"/>
    <n v="0"/>
    <n v="13000000"/>
    <x v="34"/>
  </r>
  <r>
    <x v="11"/>
    <s v="12COM009-2020"/>
    <s v="ADQUISICIÓN DE ELEMENTOS DE PROTECCIÓN PERSONAL, ELEMENTOS DE ASEO, Y EQUIPOS BIOMÉDICOS ANTE LA EMERGENCIA SANITARIA (CORONAVIRUS- COVID-19), PARA LOS SERVIDORES – FUNCIONARIOS DE LOS DISTRITOS JUDICIALES DE NEIVA Y FLORENCIA, POR URGENCIA MANIFIESTA"/>
    <d v="2020-05-27T00:00:00"/>
    <d v="2020-06-03T00:00:00"/>
    <n v="87780000"/>
    <n v="0"/>
    <s v="INFANTILES YASTING S.A.S"/>
    <n v="900490455"/>
    <s v="BATA TIPO CIRUJANO TALLA XL; A LA ALTURA DE LA RODILLA, TELA 100% POLIÉSTER ANTI FLUIDOS CLORO RESISTENTE ANTIMICROBIAL, MANGA LARGA, PUÑO AJUSTADO EN RESORTE, CUELLO REDONDO EN RESORTE, CIERRE DE 70CM DIENTES N°7, LOGO PARTE IZQUIERDA ESTAMPADO Y BORDADO. EMPAQUE INDIVIDUAL. COMPOSICIÓN TELA ANTI FLUIDOS: TELA 100% FILAMENTO DE POLIÉSTER. COMPOSICIÓN TELA ANTI FLUIDOS: TELA 100% FILAMENTO DE POLIÉSTER.  BASE PERTENECIENTE A AL PROGRAMA DE ETIQUETAS ANTIMICROBIAL QUE INHIBE EL CRECIMIENTO DE BACTERIAS GRAMPOSITIVAS (STHAPHYLOCOCCUS AEREUS) Y GRAMNEGATIVAS (KLEBSIELLA PNEUMONIAE, E.COLI).  BASE CON EXCELENTE TACTO, RESISTENTE AL RASGADO Y DECOLORACIÓN AL CLORO.  BASE CON REPELENCIA A LÍQUIDOS Y A OTROS FACTORES AMBIENTALES POR SU PROTECCIÓN.  CON LAFSHIELD PROTECTOR TEXTIL.  BASE QUE SATISFACE NIVELES DE BARRERA DE ACUERDO A AAMI PB70.  BASE PERTENECIENTE AL PROGRAMA DE ETIQUETAS DE +ANTIFLUIDO / REPELENCIA.  TELA DE TOQUE SUAVE, LIVIANA Y FRESCA IDEAL PARA TODO TIPO DE CLIMAS.  COMPOSICIÓN RESORTE: 65% POLIÉSTER 35% ALGODÓN.   COLOR BLANCO-POR UNIDAD"/>
    <n v="50"/>
    <s v="UNIDAD"/>
    <n v="65000"/>
    <n v="0"/>
    <n v="3250000"/>
    <x v="34"/>
  </r>
  <r>
    <x v="11"/>
    <s v="12COM010-2020"/>
    <s v="ADQUISICIÓN DE ELEMENTOS DE PROTECCIÓN PERSONAL, ELEMENTOS DE ASEO, Y EQUIPOS BIOMÉDICOS ANTE LA EMERGENCIA SANITARIA (CORONAVIRUS- COVID-19), PARA LOS SERVIDORES – FUNCIONARIOS DE LOS DISTRITOS JUDICIALES DE NEIVA Y FLORENCIA, POR URGENCIA MANIFIESTA"/>
    <d v="2020-05-28T00:00:00"/>
    <d v="2020-06-03T00:00:00"/>
    <n v="87642600"/>
    <n v="0"/>
    <s v="SERVINDUSTRIALES DEL HUILA S.A.S."/>
    <n v="900347045"/>
    <s v="TAPABOCAS QUIRURGICO -DESECHABLE, CON RESORTE A LA OREJA , TRES CAPAS, ADAPTADOR NASAL AJUSTABLE, EN ALGODÓN;      DEBE TENER UNA ADECUADA PRESENTACIÓN PARA SU USO. SUS SUPERFICIES DEBEN TENER UN ASPECTO LIMPIO, SER UNIFORMES, TANTO EN COLOR COMO EN SU TEXTURA, LIBRES DE ASTILLAS, RUPTURAS, FISURAS U OTRAS IMPERFECCIONES LIBRE DE ASPEREZAS, ELEMENTOS ABRASIVOS O PEGAJOSOS. LOS CAUCHOS DEBEN TENER SUFICIENTE RESISTENCIA A LA FRICCIÓN PARA GARANTIZAR SU DURABILIDAD.     LOS MATERIALES Y DISEÑO DEL TAPABOCAS DEBEN GARANTIZAR LA COMPLETA PROTECCIÓN PARA IMPEDIR EL PASO DE PARTÍCULAS PERJUDICIALES PARA LA SALUD DE LOS HUMANOS. LOS MATERIALES CON QUE ESTÁ ELABORADA NO PUEDEN SER TÓXICOS A LOS SERES HUMANOS GARANTIZAR ALTOS NIVELES DE PROTECCIÓN, DURABILIDAD Y COMODIDAD.   MASCARILLA QUIRÚRGICA, NO TEJIDA MATERIAL FIELTRO, BLANDA DESECHABLE, CON BANDAS ELÁSTICAS PARA AJUSTE EN OREJAS, CLIP METÁLICO QUE PERMITE AJUSTARSE A LA NARIZ.    MEDIDAS APROXIMADAS: 175 MM × 95 MM X ± 2 MM  OTRAS: LAS PARTES DEL TAPABOCAS DEBEN ESTAR UNIDAS Y ASEGURADAS FIRMEMENTE. DE SU USO ADECUADO NO PUEDEN PRESENTARSE DESPRENDIMIENTOS, DESAJUSTES U OTRO TIPO DE DEFECTOS POR ENSAMBLE INADECUADO. PRESENTACION  CAJA  X 50 UNIDADES"/>
    <n v="46400"/>
    <s v="UNIDAD"/>
    <n v="1470"/>
    <n v="0"/>
    <n v="68208000"/>
    <x v="3"/>
  </r>
  <r>
    <x v="11"/>
    <s v="12COM010-2020"/>
    <s v="ADQUISICIÓN DE ELEMENTOS DE PROTECCIÓN PERSONAL, ELEMENTOS DE ASEO, Y EQUIPOS BIOMÉDICOS ANTE LA EMERGENCIA SANITARIA (CORONAVIRUS- COVID-19), PARA LOS SERVIDORES – FUNCIONARIOS DE LOS DISTRITOS JUDICIALES DE NEIVA Y FLORENCIA, POR URGENCIA MANIFIESTA"/>
    <d v="2020-05-28T00:00:00"/>
    <d v="2020-06-03T00:00:00"/>
    <n v="87642600"/>
    <n v="0"/>
    <s v="SERVINDUSTRIALES DEL HUILA S.A.S."/>
    <n v="900347045"/>
    <s v="DETERGENTE DESINFECTANTE DESODORANTE FRASCO PARA LA LIMPIEZA Y LA DESINFECCION DE TODA SUPERFICIE LAVABLE  - FRASCO  X 1LT CON DOSIFICADOR  INTEGRADO : FABRICADO A BASE DE AMONIO CUATERNARIO DE ÚLTIMA GENERACIÓN, MÁS ALCOHOL, BACTERICIDA, FUNGICIDA Y VIRUSIDA MAS PERFUME, ACCIÓN EN 15 MINUTOS, NO REQUIERE ENJUAGUE.   DESINFECTANTE FORMULADO CON AMONIOS CUATERNARIOS DE QUINTA GENERACIÓN “SUPERQUAT”, EN UN RANGO DE CONCENTRACIÓN DE 8.5% - 9.5%;  PH (100%) 9-11 UNIDADES, DENSIDAD 0.92-1.02 G/ML, ÍNDICE DE REFRACCIÓN 1.350-1.370.  TOTALMENTE APTO PARA USO EN INDUSTRIA DE ALIMENTOS CON PROPIEDADES COMO TENSOACTIVO CATIÓNICO. SU DISEÑO ÚNICO Y NOVEDOSO HA SIDO CIENTÍFICAMENTE DESARROLLADO PARA LA LIMPIEZA Y LA DESINFECCIÓN DE SUPERFICIES (PISOS, PAREDES Y TECHOS). "/>
    <n v="1080"/>
    <s v="LITRO"/>
    <n v="17995"/>
    <n v="0"/>
    <n v="19434600"/>
    <x v="46"/>
  </r>
  <r>
    <x v="11"/>
    <s v="12COM011-2020"/>
    <s v="ADQUISICIÓN DE ELEMENTOS DE PROTECCIÓN PERSONAL, ELEMENTOS DE ASEO, Y EQUIPOS BIOMÉDICOS ANTE LA EMERGENCIA SANITARIA (CORONAVIRUS- COVID-19), PARA LOS SERVIDORES – FUNCIONARIOS DE LOS DISTRITOS JUDICIALES DE NEIVA Y FLORENCIA, POR URGENCIA MANIFIESTA"/>
    <d v="2020-05-28T00:00:00"/>
    <d v="2020-05-28T00:00:00"/>
    <n v="27353976"/>
    <n v="0"/>
    <s v="INTEGRAL SERVICES &amp; SOLUTIONS S. A. S. INSSOL S. A. S"/>
    <n v="830094214"/>
    <s v="GEL ANTIBACTERIAL  - FC X1LT : ALCOHOL ISOPROPILICO 70% EN GEL PARA ANTISEPSIA DE MANOS, ALCOHOL ISOPROPILICO EN GEL PARA ANTISEPSIA DE MANOS, 70ML+2G/100ML"/>
    <n v="1284"/>
    <s v="LITRO"/>
    <n v="13400"/>
    <n v="0"/>
    <n v="17205600"/>
    <x v="4"/>
  </r>
  <r>
    <x v="11"/>
    <s v="12COM011-2020"/>
    <s v="ADQUISICIÓN DE ELEMENTOS DE PROTECCIÓN PERSONAL, ELEMENTOS DE ASEO, Y EQUIPOS BIOMÉDICOS ANTE LA EMERGENCIA SANITARIA (CORONAVIRUS- COVID-19), PARA LOS SERVIDORES – FUNCIONARIOS DE LOS DISTRITOS JUDICIALES DE NEIVA Y FLORENCIA, POR URGENCIA MANIFIESTA"/>
    <d v="2020-05-28T00:00:00"/>
    <d v="2020-05-28T00:00:00"/>
    <n v="27353976"/>
    <n v="0"/>
    <s v="INTEGRAL SERVICES &amp; SOLUTIONS S. A. S. INSSOL S. A. S"/>
    <n v="830094214"/>
    <s v="JABÓN DISPENSADOR PARA MANOS 1 - LÍQUIDO, EN RECIPIENTE PLÁSTICO CON DISPENSADOR. CON AGENTE LIMPIADOR EN UNA CONCENTRACIÓN MÍNIMA DEL 6%,  CON AGENTE HUMECTANTE EN UNA CONCENTRACIÓN MÍNIMA DEL 3%, - PH ENTRE 5,5 A 7"/>
    <n v="1218"/>
    <s v="LITRO"/>
    <n v="8332"/>
    <n v="0"/>
    <n v="10148376"/>
    <x v="5"/>
  </r>
  <r>
    <x v="11"/>
    <s v="12COM013-2020"/>
    <s v="ADQUISICIÓN DE ELEMENTOS DE PROTECCIÓN PERSONAL, ELEMENTOS DE ASEO, Y EQUIPOS BIOMÉDICOS ANTE LA EMERGENCIA SANITARIA (CORONAVIRUS- COVID-19), PARA LOS SERVIDORES – FUNCIONARIOS DE LOS DISTRITOS JUDICIALES DE NEIVA Y FLORENCIA, POR URGENCIA MANIFIESTA"/>
    <d v="2020-05-28T00:00:00"/>
    <d v="2020-05-28T00:00:00"/>
    <n v="79458450"/>
    <n v="0"/>
    <s v="INCINERADOS DEL HUILA SAS E.S.P - INCIHUILA S.A.S E.S.P"/>
    <n v="813005241"/>
    <s v="GUANTES DE NITRILO TALLAS M Y L (DESECHABLES, HIPOALERGÉNICOS, NO ESTÉRILES, ALTA RESISTENCIA A LA ELONGACIÓN, LIBRE DE TALCO, AMBIDIESTROS, PUÑO CON REBORDE.  CAJA X 100 UNIDADES)"/>
    <n v="1791"/>
    <s v="CAJA X 100"/>
    <n v="40000"/>
    <n v="0"/>
    <n v="71640000"/>
    <x v="10"/>
  </r>
  <r>
    <x v="11"/>
    <s v="12COM013-2020"/>
    <s v="ADQUISICIÓN DE ELEMENTOS DE PROTECCIÓN PERSONAL, ELEMENTOS DE ASEO, Y EQUIPOS BIOMÉDICOS ANTE LA EMERGENCIA SANITARIA (CORONAVIRUS- COVID-19), PARA LOS SERVIDORES – FUNCIONARIOS DE LOS DISTRITOS JUDICIALES DE NEIVA Y FLORENCIA, POR URGENCIA MANIFIESTA"/>
    <d v="2020-05-28T00:00:00"/>
    <d v="2020-05-28T00:00:00"/>
    <n v="79458450"/>
    <n v="0"/>
    <s v="INCINERADOS DEL HUILA SAS E.S.P - INCIHUILA S.A.S E.S.P"/>
    <n v="813005241"/>
    <s v="ALCOHOL FRASCO ANTISEPTICO DE USO EXTERNO AL 70% "/>
    <n v="832"/>
    <s v="LITRO"/>
    <n v="9397.1754799999999"/>
    <n v="0"/>
    <n v="7818449.9993599998"/>
    <x v="26"/>
  </r>
  <r>
    <x v="11"/>
    <s v="12COM014-2020"/>
    <s v="ADQUISICIÓN DE ELEMENTOS DE PROTECCIÓN PERSONAL, ELEMENTOS DE ASEO, Y EQUIPOS BIOMÉDICOS ANTE LA EMERGENCIA SANITARIA (CORONAVIRUS- COVID-19), PARA LOS SERVIDORES – FUNCIONARIOS DE LOS DISTRITOS JUDICIALES DE NEIVA Y FLORENCIA, POR URGENCIA MANIFIESTA"/>
    <d v="2020-06-01T00:00:00"/>
    <d v="2020-06-08T00:00:00"/>
    <n v="6288000"/>
    <n v="0"/>
    <s v="IMPRIDEAS S.A.S"/>
    <n v="900305563"/>
    <s v="DISPENSADOR DE GEL TIPO 1 ( OPERADOR MECANICAMENTE POR MEDIO DE UN PEDAL LO QUE HACE QUE SE OPRIMA LA VALVULA DEL ENVASE DISPENSANDO EL PRODUCTO, CARACTERISTICAS:  SISTEMA DE PEDAL PARA DISPENSADOR DE ANTIBACTERIAL O ALCOHOL, CAPACIDAD DE UN LITRO, COLOR PLATA EN PINTURA DE POLIEURETANO BRILLANTE - ALTURA DE 0,90 MT X ANCHO DE 0.19 MT."/>
    <n v="32"/>
    <s v="UNIDAD"/>
    <n v="165126.05042000001"/>
    <n v="31373.949579800003"/>
    <n v="6287999.9999936009"/>
    <x v="12"/>
  </r>
  <r>
    <x v="11"/>
    <s v="12COM015-2020"/>
    <s v="ADQUISICIÓN DE ELEMENTOS DE PROTECCIÓN PERSONAL, ELEMENTOS DE ASEO, Y EQUIPOS BIOMÉDICOS ANTE LA EMERGENCIA SANITARIA (CORONAVIRUS- COVID-19), PARA LOS SERVIDORES – FUNCIONARIOS DE LOS DISTRITOS JUDICIALES DE NEIVA Y FLORENCIA, POR URGENCIA MANIFIESTA"/>
    <d v="2020-06-02T00:00:00"/>
    <d v="2020-06-08T00:00:00"/>
    <n v="3253250"/>
    <n v="0"/>
    <s v="FUNDACION TEJEDORES POR LA PAZ"/>
    <n v="900348560"/>
    <s v="CARETA DE BIOSEGURIDAD ELABORADA EN POLIETILENO DE ALTO IMPACTO Y VISOR TRANSPARENTE PET-MOVIL"/>
    <n v="275"/>
    <s v="UNIDAD"/>
    <n v="11830"/>
    <n v="0"/>
    <n v="3253250"/>
    <x v="11"/>
  </r>
  <r>
    <x v="11"/>
    <s v="12COM016-2020"/>
    <s v="ADQUISICIÓN DE ELEMENTOS DE PROTECCIÓN PERSONAL, ELEMENTOS DE ASEO, Y EQUIPOS BIOMÉDICOS ANTE LA EMERGENCIA SANITARIA (CORONAVIRUS- COVID-19), PARA LOS SERVIDORES – FUNCIONARIOS DE LOS DISTRITOS JUDICIALES DE NEIVA Y FLORENCIA, POR URGENCIA MANIFIESTA"/>
    <d v="2020-06-03T00:00:00"/>
    <d v="2020-06-08T00:00:00"/>
    <n v="11400000"/>
    <n v="0"/>
    <s v="FUNDACION TEJEDORES POR LA PAZ"/>
    <n v="900348560"/>
    <s v="KIT DE TAPETE DESINFECCION;(TAMAÑO 65CM X 55CM, MATERIAL EN ALUMINIO ESTRUCTURAL CON BORDES REDONDEADOS, CONSTA DE :  A) TAPETE DE SECADO. B) TAPETE HUMEDO, ESQUINERO EN POLIMERO, PEGANTE POLIURETANO SILICONA.  C) INLCUYE 40 ML EN 25% DE AMONIO CUATERNARIO PARA 4 LITROS DE AGUA.  RESISTIBLE AL AMONIO CUATERNARIO, ANTIDESLIZANTE."/>
    <n v="60"/>
    <s v="UNIDAD"/>
    <n v="190000"/>
    <n v="0"/>
    <n v="11400000"/>
    <x v="35"/>
  </r>
  <r>
    <x v="11"/>
    <s v="12COM017-2020"/>
    <s v="CONTRATAR EN NOMBRE DE LA NACIÓN - CONSEJO SUPERIOR DE LA JUDICATURA – DIRECCIÓN EJECUTIVA DE ADMINISTRACIÓN JUDICIAL SECCIONAL NEIVA, POR EL SISTEMA DE PRECIOS UNITARIOS LA ADQUISICIÓN DE EQUIPOS BIOMÉDICOS ANTE LA EMERGENCIA SANITARIA (CORONAVIRUS- COVID-19), PARA LOS SERVIDORES – FUNCIONARIOS DE LOS DISTRITOS JUDICIALES DE NEIVA Y FLORENCIA, POR URGENCIA MANIFIESTA."/>
    <d v="2020-06-09T00:00:00"/>
    <d v="2020-06-16T00:00:00"/>
    <n v="15750000"/>
    <n v="0"/>
    <s v="EL PUNTO ELECTRICO LTDA"/>
    <n v="800213675"/>
    <s v="TERMOMETRO INFRAROJO ( MODELO -JXB-178) (MARCA BERRCON) CARACTERISTICAS ; PANTALLA DE RETROILUMINACIÓN LCD CON TRES COLORES, TAMAÑO: 155-100*40 MM (LXWXH) PESO ( SIN BATERIA): 105G COLOR BLANCO, RESOLUCIÓN DE PANTALLA DE TEMPERATURA: 01 C, CONSUMO &lt; 300 MW"/>
    <n v="50"/>
    <s v="UNIDAD"/>
    <n v="315000"/>
    <n v="0"/>
    <n v="15750000"/>
    <x v="22"/>
  </r>
  <r>
    <x v="11"/>
    <s v="12SER011-2020"/>
    <s v="CONTRATAR LA PRESTACIÓN DE SERVICIOS DE PERSONAL DE APOYO A LA GESTIÓN (VIGÍAS DE SALUD) PARA VELAR POR EL CUMPLIMIENTO DE LOS PROTOCOLOS DE BIOSEGURIDAD ESTABLECIDOS POR LA RAMA JUDICIAL Y FORTALECER LAS MEDIDAS DE PREVENCIÓN DEL CONTAGIO Y DE LA PROPAGACIÓN DEL COVID -19."/>
    <d v="2020-06-26T00:00:00"/>
    <d v="2020-07-01T00:00:00"/>
    <n v="85748768"/>
    <n v="0"/>
    <s v="SOLUCIONES TEMPORALES S.A.S"/>
    <n v="900402861"/>
    <s v="AUXILIARES DE ENFERMERIA EL VALOR TOTAL CORRESPONDE A LOS MESES DE JULIO, AGOSTO, SEPTIEMBRE Y OCTUBRE. EL VALOR MENSUAL CORRESPONDE A $18.374.736 EQUIVALENTE A  12 PERSONAS X MES UBICADAS EN LAS SEDES: NEIVA (5), GARZON (1), PITALITO(1), LA PLATA(1), FLORENCIA (2), PUERTO RICO (1), BELEN DE LOS ANDAQUIES (1). (POR 4 MESES)"/>
    <n v="12"/>
    <s v="VALOR MENSUAL POR PERSONA"/>
    <n v="1531228"/>
    <n v="0"/>
    <n v="73498944"/>
    <x v="6"/>
  </r>
  <r>
    <x v="11"/>
    <s v="12SER011-2020"/>
    <s v="CONTRATAR LA PRESTACIÓN DE SERVICIOS DE PERSONAL DE APOYO A LA GESTIÓN (VIGÍAS DE SALUD) PARA VELAR POR EL CUMPLIMIENTO DE LOS PROTOCOLOS DE BIOSEGURIDAD ESTABLECIDOS POR LA RAMA JUDICIAL Y FORTALECER LAS MEDIDAS DE PREVENCIÓN DEL CONTAGIO Y DE LA PROPAGACIÓN DEL COVID -19."/>
    <d v="2020-06-26T00:00:00"/>
    <d v="2020-07-01T00:00:00"/>
    <n v="85748768"/>
    <n v="0"/>
    <s v="SOLUCIONES TEMPORALES S.A.S"/>
    <n v="900402861"/>
    <s v="AUXILIARES DE ENFERMERIA EL VALOR TOTAL CORRESPONDE AL MES DE NOVIEMBRE SEDES: NEIVA (5), PITALITO (1), FLORENCIA (2). VALOR MENSUAL DE $ 12,249,824"/>
    <n v="8"/>
    <s v="VALOR MENSUAL POR PERSONA"/>
    <n v="1531228"/>
    <n v="0"/>
    <n v="12249824"/>
    <x v="6"/>
  </r>
  <r>
    <x v="11"/>
    <s v="ADICION 12SER011-2020"/>
    <s v="CONTRATAR LA PRESTACIÓN DE SERVICIOS DE PERSONAL DE APOYO A LA GESTIÓN (VIGÍAS DE SALUD) PARA VELAR POR EL CUMPLIMIENTO DE LOS PROTOCOLOS DE BIOSEGURIDAD ESTABLECIDOS POR LA RAMA JUDICIAL Y FORTALECER LAS MEDIDAS DE PREVENCIÓN DEL CONTAGIO Y DE LA PROPAGACIÓN DEL COVID -19."/>
    <d v="2020-06-26T00:00:00"/>
    <d v="2020-07-01T00:00:00"/>
    <n v="0"/>
    <n v="24499648"/>
    <s v="SOLUCIONES TEMPORALES S.A.S"/>
    <n v="900402861"/>
    <s v="AUXILIARES DE ENFERMERIA EL VALOR TOTAL CORRESPONDE AL MES DE NOVIEMBRE SEDES: NEIVA (5), PITALITO (1), FLORENCIA (2). VALOR MENSUAL DE $ 12,249,824"/>
    <n v="16"/>
    <s v="VALOR MENSUAL POR PERSONA"/>
    <n v="1531228"/>
    <n v="0"/>
    <n v="24499648"/>
    <x v="6"/>
  </r>
  <r>
    <x v="11"/>
    <s v="OC 61828"/>
    <s v="ADQUISICIÓN DE ELEMENTOS DE PROTECCIÓN PERSONAL, ELEMENTOS DE ASEO, Y EQUIPOS BIOMÉDICOS ANTE LA EMERGENCIA SANITARIA (CORONAVIRUS- COVID-19), PARA LOS SERVIDORES – FUNCIONARIOS DE LOS DISTRITOS JUDICIALES DE NEIVA Y FLORENCIA, POR URGENCIA MANIFIESTA"/>
    <d v="2020-12-15T00:00:00"/>
    <d v="2020-12-15T00:00:00"/>
    <n v="11745300"/>
    <n v="0"/>
    <s v="DIGILED TECHNOLOGY S.A.S"/>
    <n v="901110477"/>
    <s v="DETERGENTE DESINFECTANTE FABRICADO A BASE DE AMONIO CUATERNARIO DE ÚLTIMA GENERACIÓN, X 750 ML"/>
    <n v="3525"/>
    <s v="LITRO"/>
    <n v="3332"/>
    <n v="0"/>
    <n v="11745300"/>
    <x v="46"/>
  </r>
  <r>
    <x v="11"/>
    <s v="OC 61875"/>
    <s v="ADQUISICIÓN DE ELEMENTOS DE PROTECCIÓN PERSONAL, ELEMENTOS DE ASEO, Y EQUIPOS BIOMÉDICOS ANTE LA EMERGENCIA SANITARIA (CORONAVIRUS- COVID-19), PARA LOS SERVIDORES – FUNCIONARIOS DE LOS DISTRITOS JUDICIALES DE NEIVA Y FLORENCIA, POR URGENCIA MANIFIESTA"/>
    <d v="2020-12-16T00:00:00"/>
    <d v="2020-12-16T00:00:00"/>
    <n v="48415000"/>
    <n v="0"/>
    <s v="SUMIMAS SAS"/>
    <n v="830001338"/>
    <s v="GEL ANTIBACTERIAL"/>
    <n v="1800"/>
    <s v="LITRO"/>
    <n v="4450"/>
    <n v="0"/>
    <n v="8010000"/>
    <x v="4"/>
  </r>
  <r>
    <x v="11"/>
    <s v="OC 61875"/>
    <s v="ADQUISICIÓN DE ELEMENTOS DE PROTECCIÓN PERSONAL, ELEMENTOS DE ASEO, Y EQUIPOS BIOMÉDICOS ANTE LA EMERGENCIA SANITARIA (CORONAVIRUS- COVID-19), PARA LOS SERVIDORES – FUNCIONARIOS DE LOS DISTRITOS JUDICIALES DE NEIVA Y FLORENCIA, POR URGENCIA MANIFIESTA"/>
    <d v="2020-12-16T00:00:00"/>
    <d v="2020-12-16T00:00:00"/>
    <n v="48415000"/>
    <n v="0"/>
    <s v="SUMIMAS SAS"/>
    <n v="830001338"/>
    <s v="TOALLAS PARA MANOS"/>
    <n v="11500"/>
    <s v="PAQUETE"/>
    <n v="2470"/>
    <n v="0"/>
    <n v="28405000"/>
    <x v="8"/>
  </r>
  <r>
    <x v="11"/>
    <s v="OC 61875"/>
    <s v="ADQUISICIÓN DE ELEMENTOS DE PROTECCIÓN PERSONAL, ELEMENTOS DE ASEO, Y EQUIPOS BIOMÉDICOS ANTE LA EMERGENCIA SANITARIA (CORONAVIRUS- COVID-19), PARA LOS SERVIDORES – FUNCIONARIOS DE LOS DISTRITOS JUDICIALES DE NEIVA Y FLORENCIA, POR URGENCIA MANIFIESTA"/>
    <d v="2020-12-16T00:00:00"/>
    <d v="2020-12-16T00:00:00"/>
    <n v="48415000"/>
    <n v="0"/>
    <s v="SUMIMAS SAS"/>
    <n v="830001338"/>
    <s v="ALCOHOL"/>
    <n v="3200"/>
    <s v="LITRO"/>
    <n v="3750"/>
    <n v="0"/>
    <n v="12000000"/>
    <x v="26"/>
  </r>
  <r>
    <x v="11"/>
    <s v="OC 61896"/>
    <s v="ADQUISICIÓN DE ELEMENTOS DE PROTECCIÓN PERSONAL, ELEMENTOS DE ASEO, Y EQUIPOS BIOMÉDICOS ANTE LA EMERGENCIA SANITARIA (CORONAVIRUS- COVID-19), PARA LOS SERVIDORES – FUNCIONARIOS DE LOS DISTRITOS JUDICIALES DE NEIVA Y FLORENCIA, POR URGENCIA MANIFIESTA"/>
    <d v="2020-12-16T00:00:00"/>
    <d v="2020-12-16T00:00:00"/>
    <n v="7184000"/>
    <n v="0"/>
    <s v="BON SANTE SAS"/>
    <n v="901211678"/>
    <s v="TAPABOCAS TELA POLYESTER"/>
    <n v="8000"/>
    <s v="UNIDAD"/>
    <n v="898"/>
    <n v="0"/>
    <n v="7184000"/>
    <x v="3"/>
  </r>
  <r>
    <x v="11"/>
    <s v="ORDEN DE COMPRA 18"/>
    <s v="ADQUISICIÓN DE ELEMENTOS DE PROTECCIÓN PERSONAL, ELEMENTOS DE ASEO, Y EQUIPOS BIOMÉDICOS ANTE LA EMERGENCIA SANITARIA (CORONAVIRUS- COVID-19), PARA LOS SERVIDORES – FUNCIONARIOS DE LOS DISTRITOS JUDICIALES DE NEIVA Y FLORENCIA, POR URGENCIA MANIFIESTA"/>
    <d v="2020-10-19T00:00:00"/>
    <d v="2020-10-19T00:00:00"/>
    <n v="40675500"/>
    <n v="0"/>
    <s v="FUNDACION TEJEDORES POR LA PAZ"/>
    <n v="900348560"/>
    <s v="VISORES - CARETAS"/>
    <n v="3537"/>
    <s v="UNIDAD"/>
    <n v="11500"/>
    <n v="0"/>
    <n v="40675500"/>
    <x v="11"/>
  </r>
  <r>
    <x v="11"/>
    <s v="OC 61848"/>
    <s v="ADQUISICIÓN DE ELEMENTOS DE PROTECCIÓN PERSONAL, ELEMENTOS DE ASEO, Y EQUIPOS BIOMÉDICOS ANTE LA EMERGENCIA SANITARIA (CORONAVIRUS- COVID-19), PARA LOS SERVIDORES – FUNCIONARIOS DE LOS DISTRITOS JUDICIALES DE NEIVA Y FLORENCIA, POR URGENCIA MANIFIESTA"/>
    <d v="2020-12-15T00:00:00"/>
    <d v="2020-12-15T00:00:00"/>
    <n v="1215287.5"/>
    <n v="0"/>
    <s v="INDUHOTEL SAS"/>
    <n v="900300970"/>
    <s v="BASES PARA DISPENSADORES DE GEL DESINFECTANTE Y JABÓN LÍQUIDO PARA MANOS"/>
    <n v="25"/>
    <s v="UNIDAD"/>
    <n v="40850"/>
    <n v="7761.5"/>
    <n v="1215287.5"/>
    <x v="12"/>
  </r>
  <r>
    <x v="12"/>
    <s v="O.C. 47545"/>
    <s v="ADQUIRIR ELEMENTOS DE PROTECCION PERSONAL PARA PREVENIR EL CONTAGIO DEL COVID 19 CON DESTINO A LA RAMA JUDICIAL (TAPABOCAS DESECHABLES)"/>
    <d v="2020-04-23T00:00:00"/>
    <d v="2020-04-23T00:00:00"/>
    <n v="19975000"/>
    <n v="0"/>
    <s v="CACHUCHAS Y CAMISETAS GOO WILL SAS"/>
    <n v="830137645"/>
    <s v="TAPABOCAS DESECHABLES "/>
    <n v="25000"/>
    <s v="UNIDAD"/>
    <n v="799"/>
    <n v="0"/>
    <n v="19975000"/>
    <x v="3"/>
  </r>
  <r>
    <x v="12"/>
    <s v="O.C.47544"/>
    <s v="ADQUIRIR ELEMENTOS DE PROTECCION PERSONAL PARA PREVENIR EL CONTAGIO DEL COVID 19 CON DESTINO A LA RAMA JUDICIAL (ALCOHOL ANTISEPTICO GALON)"/>
    <d v="2020-04-23T00:00:00"/>
    <d v="2020-04-23T00:00:00"/>
    <n v="5142900"/>
    <n v="0"/>
    <s v="SUMIMAS S.A.S"/>
    <n v="830001338"/>
    <s v="ALCOHOL ANTISÉPTICO GALÓN AL 70% "/>
    <n v="380"/>
    <s v="LITRO"/>
    <n v="13533.94736842"/>
    <n v="0"/>
    <n v="5142899.9999996005"/>
    <x v="26"/>
  </r>
  <r>
    <x v="12"/>
    <s v="O.C.47546"/>
    <s v="ADQUIRIR ELEMENTOS DE PROTECCION PERSONAL PARA PREVENIR EL CONTAGIO DEL COVID 19 CON DESTINO A LA RAMA JUDICIAL (GEL ANTIBACTERIAL GALON)"/>
    <d v="2020-04-23T00:00:00"/>
    <d v="2020-04-23T00:00:00"/>
    <n v="16680840"/>
    <n v="0"/>
    <s v="PMI PROYECTOS MONTAJES E INGENIERIA "/>
    <n v="900704052"/>
    <s v="GELANTIBACTERIAL – GALON CONCENTRACION MINIMA DEL 0,2%"/>
    <n v="1254"/>
    <s v="LITRO"/>
    <n v="13302.105262999999"/>
    <n v="0"/>
    <n v="16680839.999801999"/>
    <x v="4"/>
  </r>
  <r>
    <x v="12"/>
    <s v="O.C.47547"/>
    <s v="ADQUIRIR ELEMENTOS DE PROTECCION PERSONAL PARA PREVENIR EL CONTAGIO DEL COVID 19 CON DESTINO A LA RAMA JUDICIAL (JABON DISPENSADOR PARA MANOS)"/>
    <d v="2020-04-23T00:00:00"/>
    <d v="2020-04-23T00:00:00"/>
    <n v="4605000"/>
    <n v="0"/>
    <s v="PMI PROYECTOS MONTAJES E INGENIERIA "/>
    <n v="900704052"/>
    <s v="JABÓN DISPENSADOR PARA MANOS 2 - LÍQUIDO, "/>
    <n v="1140"/>
    <s v="LITRO"/>
    <n v="4039.473684"/>
    <n v="0"/>
    <n v="4604999.99976"/>
    <x v="5"/>
  </r>
  <r>
    <x v="12"/>
    <s v="O.C.47552"/>
    <s v="ADQUIRIR ELEMENTOS DE PROTECCION PERSONAL PARA PREVENIR EL CONTAGIO DEL COVID 19 CON DESTINO A LA RAMA JUDICIAL (TOALLAS PARA  MANOS)"/>
    <d v="2020-04-23T00:00:00"/>
    <d v="2020-04-23T00:00:00"/>
    <n v="9241540"/>
    <n v="0"/>
    <s v="INDUHOTEL SAS"/>
    <n v="900300970"/>
    <s v="TOALLAS PARA MANOS 4 - UNIDAD INTERDOBLADAS - DOBLE HOJA CON UN TAMAÑO MÍNIMO 15 CM DE ANCHO"/>
    <n v="2000"/>
    <s v="PAQUETE"/>
    <n v="3883"/>
    <n v="0"/>
    <n v="7766000"/>
    <x v="8"/>
  </r>
  <r>
    <x v="12"/>
    <s v="O.C.47742"/>
    <s v="ADQUIRIR ELEMENTOS DE PROTECCION PERSONAL PARA PREVENIR EL CONTAGIO DEL COVID 19 CON DESTINO A LA RAMA JUDICIAL (MONOGAFA GOGGLESCONTRA IMPACTOS CON LENTES CLARAS)"/>
    <d v="2020-04-28T00:00:00"/>
    <d v="2020-04-28T00:00:00"/>
    <n v="2832200"/>
    <n v="0"/>
    <s v="PANAMERICANA LIBRERÍA Y PAELERIA SA"/>
    <n v="830037946"/>
    <s v="MONOGAFA GOGGLES CONTRA IMPACTOS_x000a_CON LENTES CLARAS COD. 900505987"/>
    <n v="200"/>
    <s v="UNIDAD"/>
    <n v="14161"/>
    <n v="0"/>
    <n v="2832200"/>
    <x v="2"/>
  </r>
  <r>
    <x v="12"/>
    <s v="O.C. 48332"/>
    <s v="ADQUIRIR ELEMENTOS DE PROTECCION PERSONAL PARA PREVENIR EL CONTAGIO DEL COVID 19 CON DESTINO A LA RAMA JUDICIAL (GEL ANTIBACTERIAL- CARETA DARNEL SENCILLA  - DISPENSADOR GEL PLANO - TERMOMETRO INFRAROJO)"/>
    <d v="2020-05-14T00:00:00"/>
    <d v="2020-05-14T00:00:00"/>
    <n v="4840000"/>
    <n v="0"/>
    <s v="VADEL S.A.S."/>
    <n v="900175023"/>
    <s v="GUANTES DE NITRILO"/>
    <n v="100"/>
    <s v="CAJA X 100"/>
    <n v="48400"/>
    <n v="0"/>
    <n v="4840000"/>
    <x v="10"/>
  </r>
  <r>
    <x v="12"/>
    <s v="O.C. 49790"/>
    <s v="ADQUIRIR ELEMENTOS DE PROTECCION PERSONAL PARA PREVENIR EL CONTAGIO DEL COVID 19 CON DESTINO A LA RAMA JUDICIAL (GEL ANTIBACTERIAL- CARETA DARNEL SENCILLA  - DISPENSADOR GEL PLANO - TERMOMETRO INFRAROJO)"/>
    <d v="2020-06-03T00:00:00"/>
    <d v="2020-06-04T00:00:00"/>
    <n v="44570660"/>
    <n v="0"/>
    <s v="CENCOSUD COLOMBIA SA"/>
    <n v="900155107"/>
    <s v="GEL ANTIBACTERIAL ORION "/>
    <n v="352"/>
    <s v="LITRO"/>
    <n v="23530"/>
    <n v="0"/>
    <n v="8282560"/>
    <x v="4"/>
  </r>
  <r>
    <x v="12"/>
    <s v="O.C. 49790"/>
    <s v="ADQUIRIR ELEMENTOS DE PROTECCION PERSONAL PARA PREVENIR EL CONTAGIO DEL COVID 19 CON DESTINO A LA RAMA JUDICIAL (GEL ANTIBACTERIAL- CARETA DARNEL SENCILLA  - DISPENSADOR GEL PLANO - TERMOMETRO INFRAROJO)"/>
    <d v="2020-06-03T00:00:00"/>
    <d v="2020-06-04T00:00:00"/>
    <n v="44570660"/>
    <n v="0"/>
    <s v="CENCOSUD COLOMBIA SA"/>
    <n v="900155107"/>
    <s v="CARETA DARNEL SENCILLA X 100 UN"/>
    <n v="3100"/>
    <s v="UNIDAD"/>
    <n v="7501"/>
    <n v="0"/>
    <n v="23253100"/>
    <x v="11"/>
  </r>
  <r>
    <x v="12"/>
    <s v="O.C. 49790"/>
    <s v="ADQUIRIR ELEMENTOS DE PROTECCION PERSONAL PARA PREVENIR EL CONTAGIO DEL COVID 19 CON DESTINO A LA RAMA JUDICIAL (GEL ANTIBACTERIAL- CARETA DARNEL SENCILLA  - DISPENSADOR GEL PLANO - TERMOMETRO INFRAROJO)"/>
    <d v="2020-06-03T00:00:00"/>
    <d v="2020-06-04T00:00:00"/>
    <n v="44570660"/>
    <n v="0"/>
    <s v="CENCOSUD COLOMBIA SA"/>
    <n v="900155107"/>
    <s v="DISPENSADOR DE GEL PLANO TUBERIA 1 PULGADA NEGRO"/>
    <n v="57"/>
    <s v="UNIDAD"/>
    <n v="130000"/>
    <n v="0"/>
    <n v="7410000"/>
    <x v="12"/>
  </r>
  <r>
    <x v="12"/>
    <s v="O.C. 49790"/>
    <s v="ADQUIRIR ELEMENTOS DE PROTECCION PERSONAL PARA PREVENIR EL CONTAGIO DEL COVID 19 CON DESTINO A LA RAMA JUDICIAL (GEL ANTIBACTERIAL- CARETA DARNEL SENCILLA  - DISPENSADOR GEL PLANO - TERMOMETRO INFRAROJO)"/>
    <d v="2020-06-03T00:00:00"/>
    <d v="2020-06-04T00:00:00"/>
    <n v="44570660"/>
    <n v="0"/>
    <s v="CENCOSUD COLOMBIA SA"/>
    <n v="900155107"/>
    <s v="TERMOMETRO INFRAROJO SIN CONTACTO MOD FZY-208A"/>
    <n v="18"/>
    <s v="UNIDAD"/>
    <n v="312500"/>
    <n v="0"/>
    <n v="5625000"/>
    <x v="22"/>
  </r>
  <r>
    <x v="12"/>
    <s v="O.C. 50632"/>
    <s v="ADQUIRIR ELEMENTOS DE PROTECCION PERSONAL PARA PREVENIR EL CONTAGIO DEL COVID 19 CON DESTINO A LA RAMA JUDICIAL (AMONIO CUATERNARIO, KIT DE TAPETES DESINFECTANTES, ALCOHOL USO GENERAL  CON ATOMIZADOR VIVAMACH )"/>
    <d v="2020-06-17T00:00:00"/>
    <d v="2020-06-17T00:00:00"/>
    <n v="18939000"/>
    <n v="0"/>
    <s v="OFFICE DEPOT "/>
    <n v="900023386"/>
    <s v="AMONIO CUATERNARIO"/>
    <n v="1680"/>
    <s v="LITROS"/>
    <n v="4975"/>
    <n v="0"/>
    <n v="8358000"/>
    <x v="42"/>
  </r>
  <r>
    <x v="12"/>
    <s v="O.C. 50632"/>
    <s v="ADQUIRIR ELEMENTOS DE PROTECCION PERSONAL PARA PREVENIR EL CONTAGIO DEL COVID 19 CON DESTINO A LA RAMA JUDICIAL (AMONIO CUATERNARIO, KIT DE TAPETES DESINFECTANTES, ALCOHOL USO GENERAL  CON ATOMIZADOR VIVAMACH )"/>
    <d v="2020-06-17T00:00:00"/>
    <d v="2020-06-17T00:00:00"/>
    <n v="18939000"/>
    <n v="0"/>
    <s v="OFFICE DEPOT "/>
    <n v="900023386"/>
    <s v="KIT DE TAPETES DESINFECTANTE (2 BANDEJAS, TAPETE HUMEDO Y SECO, Y UN GALON AMONIO CUATERNARIO X 3.800 M.L.)"/>
    <n v="28"/>
    <s v="KIT"/>
    <n v="285000"/>
    <n v="0"/>
    <n v="7980000"/>
    <x v="35"/>
  </r>
  <r>
    <x v="12"/>
    <s v="O.C. 50632"/>
    <s v="ADQUIRIR ELEMENTOS DE PROTECCION PERSONAL PARA PREVENIR EL CONTAGIO DEL COVID 19 CON DESTINO A LA RAMA JUDICIAL (AMONIO CUATERNARIO, KIT DE TAPETES DESINFECTANTES, ALCOHOL USO GENERAL  CON ATOMIZADOR VIVAMACH )"/>
    <d v="2020-06-17T00:00:00"/>
    <d v="2020-06-17T00:00:00"/>
    <n v="18939000"/>
    <n v="0"/>
    <s v="OFFICE DEPOT "/>
    <n v="900023386"/>
    <s v="ALCOHOL USO GENERAL 70% *1000 ML CON ATOMIZADOR VIMACH"/>
    <n v="170"/>
    <s v="LITRO"/>
    <n v="15300"/>
    <n v="0"/>
    <n v="2601000"/>
    <x v="26"/>
  </r>
  <r>
    <x v="12"/>
    <s v="O.C. 50851"/>
    <s v="ADQUIRIR ELEMENTOS DE PROTECCION PERSONAL PARA PREVENIR EL CONTAGIO DEL COVID 19 CON DESTINO A LA RAMA JUDICIAL (TAPABOCAS DOBLE TELA LAVABLE )"/>
    <d v="2020-06-19T00:00:00"/>
    <d v="2020-06-19T00:00:00"/>
    <n v="84864000"/>
    <n v="0"/>
    <s v="M.A.S. EMPRESARIAL SM SAS"/>
    <n v="900401081"/>
    <s v="TAPABOCAS DOBLE TELA LAVABLE"/>
    <n v="81600"/>
    <s v="UNIDAD"/>
    <n v="1040"/>
    <n v="0"/>
    <n v="84864000"/>
    <x v="3"/>
  </r>
  <r>
    <x v="12"/>
    <s v="O.C. 51219"/>
    <s v="ADQUIRIR ELEMENTOS DE PROTECCION PERSONAL PARA PREVENIR EL CONTAGIO DEL COVID 19 CON DESTINO A LA RAMA JUDICIAL (GUANTES DE NITRILO)"/>
    <d v="2020-06-27T00:00:00"/>
    <d v="2020-06-27T00:00:00"/>
    <n v="70590000"/>
    <n v="0"/>
    <s v="INDUHOTEL SAS"/>
    <n v="900300970"/>
    <s v="GUANTES DE NITRILO"/>
    <n v="1500"/>
    <s v="CAJA X 100"/>
    <n v="47060"/>
    <n v="0"/>
    <n v="70590000"/>
    <x v="10"/>
  </r>
  <r>
    <x v="13"/>
    <s v="1483604"/>
    <s v="CONTRATAR EN NOMBRE DE LA NACIÓN, CONSEJO SUPERIOR DE JUDICATURA, DIRECCIÓN EJECUTIVA SECCIONAL DE ADMINISTRACIÓN JUDICIAL DE PASTO LA ADQUISICIÓN MEDIANTE LA MODALIDAD DE COMPRAVENTA LA DOTACIÓN DE BIOSEGURIDAD CONSISTENTE EN TRAJES DE PROTECCIÓN CORPORAL, MONOGAFAS Y TAPABOCAS PARA SERVIDORES JUDICIALES ESPECIALMENTE DE LOS JUZGADOS DE CONTROL DE GARANTÍAS, EN LAS CONDICIONES TÉCNICAS, DE CALIDAD Y CANTIDADES REQUERIDAS POR LA ENTIDAD"/>
    <d v="2020-04-01T00:00:00"/>
    <d v="2020-04-02T00:00:00"/>
    <n v="36816642"/>
    <n v="0"/>
    <s v="SOLMAQ SAS"/>
    <n v="860054854"/>
    <s v="MONOGAFA PROTECCION ALTO RENDIMIENTO NORMA ANSI Z87.1-2010 Y  CSA Z94.3. "/>
    <n v="22"/>
    <s v="UNIDAD"/>
    <n v="36236"/>
    <n v="0"/>
    <n v="797192"/>
    <x v="2"/>
  </r>
  <r>
    <x v="13"/>
    <s v="1483604"/>
    <s v="CONTRATAR EN NOMBRE DE LA NACIÓN, CONSEJO SUPERIOR DE JUDICATURA, DIRECCIÓN EJECUTIVA SECCIONAL DE ADMINISTRACIÓN JUDICIAL DE PASTO LA ADQUISICIÓN MEDIANTE LA MODALIDAD DE COMPRAVENTA LA DOTACIÓN DE BIOSEGURIDAD CONSISTENTE EN TRAJES DE PROTECCIÓN CORPORAL, MONOGAFAS Y TAPABOCAS PARA SERVIDORES JUDICIALES ESPECIALMENTE DE LOS JUZGADOS DE CONTROL DE GARANTÍAS, EN LAS CONDICIONES TÉCNICAS, DE CALIDAD Y CANTIDADES REQUERIDAS POR LA ENTIDAD"/>
    <d v="2020-04-01T00:00:00"/>
    <d v="2020-04-02T00:00:00"/>
    <n v="36816642"/>
    <n v="0"/>
    <s v="SOLMAQ SAS"/>
    <n v="860054854"/>
    <s v="TRAJE DE PROTECCIÓN OVEROL"/>
    <n v="1325"/>
    <s v="UNIDAD"/>
    <n v="22146"/>
    <n v="0"/>
    <n v="29343450"/>
    <x v="0"/>
  </r>
  <r>
    <x v="13"/>
    <s v="1483604"/>
    <s v="CONTRATAR EN NOMBRE DE LA NACIÓN, CONSEJO SUPERIOR DE JUDICATURA, DIRECCIÓN EJECUTIVA SECCIONAL DE ADMINISTRACIÓN JUDICIAL DE PASTO LA ADQUISICIÓN MEDIANTE LA MODALIDAD DE COMPRAVENTA LA DOTACIÓN DE BIOSEGURIDAD CONSISTENTE EN TRAJES DE PROTECCIÓN CORPORAL, MONOGAFAS Y TAPABOCAS PARA SERVIDORES JUDICIALES ESPECIALMENTE DE LOS JUZGADOS DE CONTROL DE GARANTÍAS, EN LAS CONDICIONES TÉCNICAS, DE CALIDAD Y CANTIDADES REQUERIDAS POR LA ENTIDAD"/>
    <d v="2020-04-01T00:00:00"/>
    <d v="2020-04-02T00:00:00"/>
    <n v="36816642"/>
    <n v="0"/>
    <s v="SOLMAQ SAS"/>
    <n v="860054854"/>
    <s v="TAPABOCAS N95"/>
    <n v="1000"/>
    <s v="UNIDAD"/>
    <n v="6676"/>
    <n v="0"/>
    <n v="6676000"/>
    <x v="3"/>
  </r>
  <r>
    <x v="13"/>
    <s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82970740"/>
    <n v="0"/>
    <s v="ADRIANA BARRERA"/>
    <n v="59311027"/>
    <s v="GUANTE LATEX"/>
    <n v="124"/>
    <s v="CAJA X 100"/>
    <n v="15650"/>
    <n v="0"/>
    <n v="1940600"/>
    <x v="24"/>
  </r>
  <r>
    <x v="13"/>
    <s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82970740"/>
    <n v="0"/>
    <s v="ADRIANA BARRERA"/>
    <n v="59311027"/>
    <s v="JABON LIQUIDO ANTIBACTERIAL PARA MANOS "/>
    <n v="3496"/>
    <s v="LITRO"/>
    <n v="4289.4736842105267"/>
    <n v="0"/>
    <n v="14996000.000000002"/>
    <x v="5"/>
  </r>
  <r>
    <x v="13"/>
    <s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82970740"/>
    <n v="0"/>
    <s v="ADRIANA BARRERA"/>
    <n v="59311027"/>
    <s v="GEL ANTIBACTERIAL MANOS "/>
    <n v="467.4"/>
    <s v="LITRO"/>
    <n v="16342.105263157895"/>
    <n v="0"/>
    <n v="7638300"/>
    <x v="4"/>
  </r>
  <r>
    <x v="13"/>
    <s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82970740"/>
    <n v="0"/>
    <s v="ADRIANA BARRERA"/>
    <n v="59311027"/>
    <s v="GEL ANTIBACTERIAL "/>
    <n v="7.5"/>
    <s v="LITRO"/>
    <n v="27600"/>
    <n v="0"/>
    <n v="207000"/>
    <x v="4"/>
  </r>
  <r>
    <x v="13"/>
    <s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82970740"/>
    <n v="0"/>
    <s v="ADRIANA BARRERA"/>
    <n v="59311027"/>
    <s v="DISPENSADOR JABÓN ACERO INOXIDABLE X 500 CC"/>
    <n v="168"/>
    <s v="UNIDAD"/>
    <n v="94500"/>
    <n v="0"/>
    <n v="15876000"/>
    <x v="12"/>
  </r>
  <r>
    <x v="13"/>
    <s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82970740"/>
    <n v="0"/>
    <s v="ADRIANA BARRERA"/>
    <n v="59311027"/>
    <s v="DISPENSADOR GEL  EN POLIPROPILENO 350 CC"/>
    <n v="60"/>
    <s v="UNIDAD"/>
    <n v="54500"/>
    <n v="0"/>
    <n v="3270000"/>
    <x v="12"/>
  </r>
  <r>
    <x v="13"/>
    <s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82970740"/>
    <n v="0"/>
    <s v="ADRIANA BARRERA"/>
    <n v="59311027"/>
    <s v="DISPENSADOR TOALLA EN ROLLO DE 100 MTS"/>
    <n v="120"/>
    <s v="UNIDAD"/>
    <n v="195782"/>
    <n v="0"/>
    <n v="23493840"/>
    <x v="12"/>
  </r>
  <r>
    <x v="13"/>
    <s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82970740"/>
    <n v="0"/>
    <s v="ADRIANA BARRERA"/>
    <n v="59311027"/>
    <s v="TOALLA ROLLO COLOR NATURAL 2H*100 METROS"/>
    <n v="852"/>
    <s v="ROLLO"/>
    <n v="18250"/>
    <n v="0"/>
    <n v="15549000"/>
    <x v="8"/>
  </r>
  <r>
    <x v="13"/>
    <s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0"/>
    <n v="39472098"/>
    <s v="ADRIANA BARRERA"/>
    <n v="59311027"/>
    <s v="DISPENSADOR JABÓN ACERO INOXIDABLE X 500 CC"/>
    <n v="66"/>
    <s v="UNIDAD"/>
    <n v="94500"/>
    <n v="0"/>
    <n v="6237000"/>
    <x v="12"/>
  </r>
  <r>
    <x v="13"/>
    <s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0"/>
    <n v="39472098"/>
    <s v="ADRIANA BARRERA"/>
    <n v="59311027"/>
    <s v="DISPENSADOR GEL  EN POLIPROPILENO 350 CC"/>
    <n v="49"/>
    <s v="UNIDAD"/>
    <n v="54500"/>
    <n v="0"/>
    <n v="2670500"/>
    <x v="12"/>
  </r>
  <r>
    <x v="13"/>
    <s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0"/>
    <n v="39472098"/>
    <s v="ADRIANA BARRERA"/>
    <n v="59311027"/>
    <s v="DISPENSADOR TOALLA EN ROLLO DE 100 MTS"/>
    <n v="89"/>
    <s v="UNIDAD"/>
    <n v="195782"/>
    <n v="0"/>
    <n v="17424598"/>
    <x v="12"/>
  </r>
  <r>
    <x v="13"/>
    <s v="1491804"/>
    <s v="CONTRATAR EN NOMBRE DE LA NACIÓN, CONSEJO SUPERIOR DE JUDICATURA, DIRECCIÓN EJECUTIVA SECCIONAL DE ADMINISTRACIÓN JUDICIAL DE PASTO LA ADQUISICIÓN, MEDIANTE LA MODALIDAD DE COMPRAVENTA, DE ELEMENTOS PARA PREVENIR EL CONTAGIO DE COVID19, EN LAS CONDICIONES TÉCNICAS, DE CALIDAD Y CANTIDADES REQUERIDAS POR LA ENTIDAD"/>
    <d v="2020-04-06T00:00:00"/>
    <d v="2020-04-07T00:00:00"/>
    <n v="0"/>
    <n v="39472098"/>
    <s v="ADRIANA BARRERA"/>
    <n v="59311027"/>
    <s v="TOALLA ROLLO COLOR NATURAL 2H*100 METROS"/>
    <n v="720"/>
    <s v="ROLLO"/>
    <n v="18250"/>
    <n v="0"/>
    <n v="13140000"/>
    <x v="8"/>
  </r>
  <r>
    <x v="13"/>
    <s v="1547625"/>
    <s v="CONTRATAR EN NOMBRE DE LA NACIÓN, CONSEJO SUPERIOR DE JUDICATURA, DIRECCIÓN EJECUTIVA SECCIONAL DE ADMINISTRACIÓN JUDICIAL DE PASTO LA ADQUISICIÓN MEDIANTE LA MODALIDAD DE COMPRAVENTA DE TAPABOCAS PARA LOS SERVIDORES JUDICIALES DE LOS DISTRITOS JUDICIALES DE PASTO Y MOCOA"/>
    <d v="2020-05-06T00:00:00"/>
    <d v="2020-05-08T00:00:00"/>
    <n v="24999480"/>
    <n v="0"/>
    <s v="INCINERADOS DEL HUILA SAS E.S.P."/>
    <n v="813005241"/>
    <s v="TAPABOCAS  DESECHABLE DE 3 CAPAS"/>
    <n v="18939"/>
    <s v="UNIDAD"/>
    <n v="1320"/>
    <n v="0"/>
    <n v="24999480"/>
    <x v="3"/>
  </r>
  <r>
    <x v="13"/>
    <s v="1574446"/>
    <s v="CONTRATAR EN NOMBRE DE LA NACIÓN, CONSEJO SUPERIOR DE JUDICATURA, DIRECCIÓN EJECUTIVA SECCIONAL ADMINISTRACIÓN JUDICIAL PASTO LA ADQUISICIÓN MEDIANTE LA MODALIDAD DE COMPRAVENTA GEL ANTIBACTERIAL EN PRESENTACIÓN DE 120 ML"/>
    <d v="2020-05-19T00:00:00"/>
    <d v="2020-05-20T00:00:00"/>
    <n v="5488560"/>
    <n v="0"/>
    <s v="BIO LABORATORIOS ESTELAR S.A.S "/>
    <n v="901143417"/>
    <s v="GEL ANTIBACTERIAL "/>
    <n v="302.39999999999998"/>
    <s v="LITRO"/>
    <n v="18150"/>
    <n v="0"/>
    <n v="5488560"/>
    <x v="4"/>
  </r>
  <r>
    <x v="13"/>
    <s v="O.C. 47665"/>
    <s v="CONTRATAR EN NOMBRE DE LA NACIÓN, CONSEJO SUPERIOR DE JUDICATURA, DIRECCIÓN EJECUTIVA SECCIONAL DE ADMINISTRACIÓN JUDICIAL DE PASTO LA ADQUISICIÓN MEDIANTE LA MODALIDAD DE COMPRAVENTA DE TAPABOCAS Y GUANTES PARA LOS SERVIDORES JUDICIALES DE LOS DISTRITOS JUDICIALES DE PASTO Y MOCOA"/>
    <d v="2020-04-28T00:00:00"/>
    <d v="2020-04-28T00:00:00"/>
    <n v="4020100"/>
    <n v="0"/>
    <s v="DYD SAS"/>
    <n v="900225460"/>
    <s v="GUANTES DE LATEX"/>
    <n v="200"/>
    <s v="CAJA X 100"/>
    <n v="20100.5"/>
    <n v="0"/>
    <n v="4020100"/>
    <x v="24"/>
  </r>
  <r>
    <x v="13"/>
    <s v="O.C. 47666"/>
    <s v="CONTRATAR EN NOMBRE DE LA NACIÓN, CONSEJO SUPERIOR DE JUDICATURA, DIRECCIÓN EJECUTIVA SECCIONAL DE ADMINISTRACIÓN JUDICIAL DE PASTO LA ADQUISICIÓN MEDIANTE LA MODALIDAD DE COMPRAVENTA DE TAPABOCAS Y GUANTES PARA LOS SERVIDORES JUDICIALES DE LOS DISTRITOS JUDICIALES DE PASTO Y MOCOA"/>
    <d v="2020-04-28T00:00:00"/>
    <d v="2020-04-28T00:00:00"/>
    <n v="1055276.3999999999"/>
    <n v="0"/>
    <s v="DYD SAS"/>
    <n v="900225460"/>
    <s v="GUANTES DE NITRILO"/>
    <n v="15"/>
    <s v="CAJA X 100"/>
    <n v="70351.759999999995"/>
    <n v="0"/>
    <n v="1055276.3999999999"/>
    <x v="10"/>
  </r>
  <r>
    <x v="13"/>
    <s v="O.C. 47878"/>
    <s v="ADQUISICIÓN DE TERMÓMETROS CON EL FIN DE APLICAR MEDIDAS DE CONTROL DE INGRESO DE PERSONAS A LAS SEDES JUDICIALES, DENTRO DE LAS MEDIDAS DE PREVENCIÓN DEL COVID19"/>
    <d v="2020-04-30T00:00:00"/>
    <d v="2020-04-30T00:00:00"/>
    <n v="634758"/>
    <n v="0"/>
    <s v="PANAMERICANA LIBRERÍA Y PAPELERÍA S.A."/>
    <n v="830037946"/>
    <s v="TERMOMETRO INFRA-ROJO 9V"/>
    <n v="1"/>
    <s v="UNIDAD"/>
    <n v="533410.08403361344"/>
    <n v="101347.91596638656"/>
    <n v="634758"/>
    <x v="22"/>
  </r>
  <r>
    <x v="13"/>
    <s v="O.C. 47879 "/>
    <s v="ADQUISICIÓN DE TERMÓMETROS CON EL FIN DE APLICAR MEDIDAS DE CONTROL DE INGRESO DE PERSONAS A LAS SEDES JUDICIALES, DENTRO DE LAS MEDIDAS DE PREVENCIÓN DEL COVID19"/>
    <d v="2020-04-30T00:00:00"/>
    <d v="2020-04-30T00:00:00"/>
    <n v="3808548"/>
    <n v="0"/>
    <s v="PANAMERICANA LIBRERÍA Y PAPELERÍA S.A."/>
    <n v="830037946"/>
    <s v="TERMOMETRO  INFRA-ROJO 9V"/>
    <n v="6"/>
    <s v="UNIDAD"/>
    <n v="533410.08403361344"/>
    <n v="101347.91596638656"/>
    <n v="3808548"/>
    <x v="22"/>
  </r>
  <r>
    <x v="13"/>
    <s v="O.C. 48782"/>
    <s v="CONTRATAR EN NOMBRE DE LA NACIÓN, CONSEJO SUPERIOR DE JUDICATURA, DIRECCIÓN EJECUTIVA SECCIONAL DE ADMINISTRACIÓN JUDICIAL DE PASTO LA ADQUISICIÓN MEDIANTE LA MODALIDAD DE COMPRAVENTA DE GEL ANTIBACTERIAL, JABÓN LÍQUIDO Y ALCOHOL CON DESTINO A LOS DESPACHOS JUDICIALES Y ADMINISTRATIVOS DE LOS DISTRITOS JUDICIALES DE PASTO Y MOCOA, CONFORME A LAS ESPECIFICACIONES DEL OBJETO CONTRACTUAL"/>
    <d v="2020-05-19T00:00:00"/>
    <d v="2020-05-19T00:00:00"/>
    <n v="12206031"/>
    <n v="0"/>
    <s v="INDUHOTEL SAS"/>
    <n v="900300970"/>
    <s v="ALCOHOL"/>
    <n v="225"/>
    <s v="LITRO"/>
    <n v="9581.24"/>
    <n v="0"/>
    <n v="2155779"/>
    <x v="26"/>
  </r>
  <r>
    <x v="13"/>
    <s v="O.C. 48782"/>
    <s v="CONTRATAR EN NOMBRE DE LA NACIÓN, CONSEJO SUPERIOR DE JUDICATURA, DIRECCIÓN EJECUTIVA SECCIONAL DE ADMINISTRACIÓN JUDICIAL DE PASTO LA ADQUISICIÓN MEDIANTE LA MODALIDAD DE COMPRAVENTA DE GEL ANTIBACTERIAL, JABÓN LÍQUIDO Y ALCOHOL CON DESTINO A LOS DESPACHOS JUDICIALES Y ADMINISTRATIVOS DE LOS DISTRITOS JUDICIALES DE PASTO Y MOCOA, CONFORME A LAS ESPECIFICACIONES DEL OBJETO CONTRACTUAL"/>
    <d v="2020-05-19T00:00:00"/>
    <d v="2020-05-19T00:00:00"/>
    <n v="12206031"/>
    <n v="0"/>
    <s v="INDUHOTEL SAS"/>
    <n v="900300970"/>
    <s v="ALCOHOL "/>
    <n v="750"/>
    <s v="LITRO"/>
    <n v="13400.335999999999"/>
    <n v="0"/>
    <n v="10050252"/>
    <x v="26"/>
  </r>
  <r>
    <x v="13"/>
    <s v="O.C. 48783"/>
    <s v="CONTRATAR EN NOMBRE DE LA NACIÓN, CONSEJO SUPERIOR DE JUDICATURA, DIRECCIÓN EJECUTIVA SECCIONAL DE ADMINISTRACIÓN JUDICIAL DE PASTO LA ADQUISICIÓN MEDIANTE LA MODALIDAD DE COMPRAVENTA DE GEL ANTIBACTERIAL, JABÓN LÍQUIDO Y ALCOHOL CON DESTINO A LOS DESPACHOS JUDICIALES Y ADMINISTRATIVOS DE LOS DISTRITOS JUDICIALES DE PASTO Y MOCOA, CONFORME A LAS ESPECIFICACIONES DEL OBJETO CONTRACTUAL"/>
    <d v="2020-05-19T00:00:00"/>
    <d v="2020-05-19T00:00:00"/>
    <n v="8422110"/>
    <n v="0"/>
    <s v="JAIME BELTRAN URIBE - POLYFLEX"/>
    <n v="10125834"/>
    <s v="GEL ANTIBACTERIAL - "/>
    <n v="750"/>
    <s v="LITRO"/>
    <n v="11229.48"/>
    <n v="0"/>
    <n v="8422110"/>
    <x v="4"/>
  </r>
  <r>
    <x v="13"/>
    <s v="O.C. 48783"/>
    <s v="CONTRATAR EN NOMBRE DE LA NACIÓN, CONSEJO SUPERIOR DE JUDICATURA, DIRECCIÓN EJECUTIVA SECCIONAL DE ADMINISTRACIÓN JUDICIAL DE PASTO LA ADQUISICIÓN MEDIANTE LA MODALIDAD DE COMPRAVENTA DE GEL ANTIBACTERIAL, JABÓN LÍQUIDO Y ALCOHOL CON DESTINO A LOS DESPACHOS JUDICIALES Y ADMINISTRATIVOS DE LOS DISTRITOS JUDICIALES DE PASTO Y MOCOA, CONFORME A LAS ESPECIFICACIONES DEL OBJETO CONTRACTUAL"/>
    <d v="2020-05-19T00:00:00"/>
    <d v="2020-05-19T00:00:00"/>
    <n v="3817086"/>
    <n v="0"/>
    <s v="JAIME BELTRAN URIBE - POLYFLEX"/>
    <n v="10125834"/>
    <s v="JABÓN LÍQUIDO "/>
    <n v="757"/>
    <s v="LITRO"/>
    <n v="5042.3857331571999"/>
    <n v="0"/>
    <n v="3817086.0000000005"/>
    <x v="5"/>
  </r>
  <r>
    <x v="13"/>
    <s v="O.C. 48784"/>
    <s v="CONTRATAR EN NOMBRE DE LA NACIÓN, CONSEJO SUPERIOR DE JUDICATURA, DIRECCIÓN_x000a_EJECUTIVA SECCIONAL DE ADMINISTRACIÓN JUDICIAL DE PASTO LA ADQUISICIÓN MEDIANTE_x000a_LA MODALIDAD DE COMPRAVENTA DE GEL ANTIBACTERIAL, JABÓN LÍQUIDO Y ALCOHOL CON_x000a_DESTINO A LOS DESPACHOS JUDICIALES Y ADMINISTRATIVOS DE LOS DISTRITOS JUDICIALES DE_x000a_PASTO Y MOCOA, CONFORME A LAS ESPECIFICACIONES DEL OBJETO CONTRACTUA"/>
    <d v="2020-05-19T00:00:00"/>
    <d v="2020-05-19T00:00:00"/>
    <n v="984924.5"/>
    <n v="0"/>
    <s v="OFIBEST S.A.S"/>
    <n v="900350133"/>
    <s v="JABÓN LÍQUIDO"/>
    <n v="185.465"/>
    <s v="LITRO"/>
    <n v="5310.5680317040951"/>
    <n v="0"/>
    <n v="984924.5"/>
    <x v="5"/>
  </r>
  <r>
    <x v="13"/>
    <s v="O.C. 48785"/>
    <s v="CONTRATAR EN NOMBRE DE LA NACIÓN, CONSEJO SUPERIOR DE JUDICATURA, DIRECCIÓN_x000a_EJECUTIVA SECCIONAL DE ADMINISTRACIÓN JUDICIAL DE PASTO LA ADQUISICIÓN MEDIANTE_x000a_LA MODALIDAD DE COMPRAVENTA DE GEL ANTIBACTERIAL, JABÓN LÍQUIDO Y ALCOHOL CON_x000a_DESTINO A LOS DESPACHOS JUDICIALES Y ADMINISTRATIVOS DE LOS DISTRITOS JUDICIALES DE_x000a_PASTO Y MOCOA, CONFORME A LAS ESPECIFICACIONES DEL OBJETO CONTRACTUA"/>
    <d v="2020-05-19T00:00:00"/>
    <d v="2020-05-19T00:00:00"/>
    <n v="12512562"/>
    <n v="0"/>
    <s v="SUMIMAS S.A.S"/>
    <n v="8300013381"/>
    <s v="GEL ANTIBACTERIAL -"/>
    <n v="1135.5"/>
    <s v="LITRO"/>
    <n v="11019.429326287978"/>
    <n v="0"/>
    <n v="12512562"/>
    <x v="4"/>
  </r>
  <r>
    <x v="13"/>
    <s v="O.C. 48968"/>
    <s v="CONTRATAR EN NOMBRE DE LA NACIÓN, CONSEJO SUPERIOR DE JUDICATURA, DIRECCIÓN_x000a_EJECUTIVA SECCIONAL DE ADMINISTRACIÓN JUDICIAL DE PASTO LA ADQUISICIÓN MEDIANTE_x000a_LA MODALIDAD DE COMPRAVENTA DE GEL ANTIBACTERIAL, JABÓN LÍQUIDO Y ALCOHOL CON_x000a_DESTINO A LOS DESPACHOS JUDICIALES Y ADMINISTRATIVOS DE LOS DISTRITOS JUDICIALES DE_x000a_PASTO Y MOCOA, CONFORME A LAS ESPECIFICACIONES DEL OBJETO CONTRACTUA"/>
    <d v="2020-05-21T00:00:00"/>
    <d v="2020-05-21T00:00:00"/>
    <n v="2924622"/>
    <n v="0"/>
    <s v="PMI PROYECTOS MONTAJES E INGENIERIA"/>
    <n v="900704052"/>
    <s v="ALCOHOL ISOPROPILICO 70% EN GEL "/>
    <n v="150"/>
    <s v="LITRO"/>
    <n v="19497.48"/>
    <n v="0"/>
    <n v="2924622"/>
    <x v="4"/>
  </r>
  <r>
    <x v="13"/>
    <s v="O.C. 49003"/>
    <s v="CONTRATAR EN NOMBRE DE LA NACIÓN, CONSEJO SUPERIOR DE JUDICATURA, DIRECCIÓN_x000a_EJECUTIVA SECCIONAL DE ADMINISTRACIÓN JUDICIAL DE PASTO LA ADQUISICIÓN MEDIANTE_x000a_LA MODALIDAD DE COMPRAVENTA DE GEL ANTIBACTERIAL, JABÓN LÍQUIDO Y ALCOHOL CON_x000a_DESTINO A LOS DESPACHOS JUDICIALES Y ADMINISTRATIVOS DE LOS DISTRITOS JUDICIALES DE_x000a_PASTO Y MOCOA, CONFORME A LAS ESPECIFICACIONES DEL OBJETO CONTRACTUA"/>
    <d v="2020-05-22T00:00:00"/>
    <d v="2020-05-22T00:00:00"/>
    <n v="1407035"/>
    <n v="0"/>
    <s v="SERE GROUP SAS"/>
    <n v="900922139"/>
    <s v="JABÓN LÍQUIDO "/>
    <n v="50"/>
    <s v="LITRO"/>
    <n v="28140.7"/>
    <n v="0"/>
    <n v="1407035"/>
    <x v="5"/>
  </r>
  <r>
    <x v="13"/>
    <s v="O.C. 49342"/>
    <s v="CONTRATAR EN NOMBRE DE LA NACIÓN, CONSEJO SUPERIOR DE JUDICATURA, DIRECCIÓN_x000a_EJECUTIVA SECCIONAL DE ADMINISTRACIÓN JUDICIAL DE PASTO LA ADQUISICIÓN MEDIANTE_x000a_LA MODALIDAD DE COMPRAVENTA DE TERMÓMETROS INFRARROJOS PARA UBICAR EN ALGUNAS_x000a_SEDES JUDICIALES DE LOS DISTRITOS JUDICIALES DE PASTO Y MOCOA"/>
    <d v="2020-05-28T00:00:00"/>
    <d v="2020-05-28T00:00:00"/>
    <n v="10854000"/>
    <n v="0"/>
    <s v="PANAMERICANA LIBRERÍA Y PAPELERÍA S.A."/>
    <n v="830037946"/>
    <s v="TERMOMETRO DIGITAL INFRA-ROJO"/>
    <n v="18"/>
    <s v="UNIDAD"/>
    <n v="506722.68907563027"/>
    <n v="96277.310924369755"/>
    <n v="10854000"/>
    <x v="22"/>
  </r>
  <r>
    <x v="13"/>
    <s v="1619602"/>
    <s v="CONTRATAR EN NOMBRE DE LA NACIÓN, CONSEJO SUPERIOR DE JUDICATURA, DIRECCIÓN EJECUTIVA SECCIONAL DE ADMINISTRACIÓN JUDICIAL DE PASTO, EL SUMINISTRO E INSTALACIÓN DE LAS DIVISIONES EN ALUMINIO E INTERCOMUNICADORES EN EL PALACIO DE JUSTICIA DE PASTO."/>
    <d v="2020-06-08T00:00:00"/>
    <d v="2020-06-10T00:00:00"/>
    <n v="57691400"/>
    <n v="0"/>
    <s v="ADC DECORACIONES LIMITADA"/>
    <n v="830014921"/>
    <s v="BARRERA. PUERTA  BATIENTE  CON MARCO  DE ALUMINIO  NATURAL  EN PERFIL T-215, ADAPTADOR PROYECTANTE  Y PISA VIDRIO PROYECTANTE 635, CON VIDRIO DE 6 MM, CON VINILO ESMERILADO   SANDBLASTING,    EN   LA   PARTE   INFERIOR   Y SUPERIOR DOBLE VIDRIO DE 6 MM PARA FACILITAR LA COMUNICACIÓN   ENTRE   LA  PARTE   INTERIOR   Y  EXTERIOR, INCLUYE  VENTANA  CORREDIZA  PASA DOCUMENTOS  A UNA ALTURA  DE  90  CMS,  MESÓN  DE  APOYO  PASA DOCUMENTOS   INTERNO   CON   SISTEMA   REMOVIBLE,   EN MDF  CON  CUBIERTA  EN FORMICA  O SIMILAR,  CHAPA  DE SEGURIDAD  170 ¼. INCLUYE ASEO GENERAL"/>
    <n v="44.9"/>
    <s v="METRO CUADRADO"/>
    <n v="450000"/>
    <n v="0"/>
    <n v="20205000"/>
    <x v="13"/>
  </r>
  <r>
    <x v="13"/>
    <s v="1619602"/>
    <s v="CONTRATAR EN NOMBRE DE LA NACIÓN, CONSEJO SUPERIOR DE JUDICATURA, DIRECCIÓN EJECUTIVA SECCIONAL DE ADMINISTRACIÓN JUDICIAL DE PASTO, EL SUMINISTRO E INSTALACIÓN DE LAS DIVISIONES EN ALUMINIO E INTERCOMUNICADORES EN EL PALACIO DE JUSTICIA DE PASTO."/>
    <d v="2020-06-08T00:00:00"/>
    <d v="2020-06-10T00:00:00"/>
    <n v="57691400"/>
    <n v="0"/>
    <s v="ADC DECORACIONES LIMITADA"/>
    <n v="830014921"/>
    <s v="DIVISION  CON MARCO DE ALUMINIO  NATURAL EN PERFIL T-1101 Y PISAVIDRIO  PROYECTANTE  635, CON VIDRIO CRISTAL DE  5MM,  INCL.  ELEMENTOS   DE  FIJACIÓN  A  MESON  Y TECHO_x000a_"/>
    <n v="107.6"/>
    <s v="METRO CUADRADO"/>
    <n v="189000"/>
    <n v="0"/>
    <n v="20336400"/>
    <x v="13"/>
  </r>
  <r>
    <x v="13"/>
    <s v="1619602"/>
    <s v="CONTRATAR EN NOMBRE DE LA NACIÓN, CONSEJO SUPERIOR DE JUDICATURA, DIRECCIÓN EJECUTIVA SECCIONAL DE ADMINISTRACIÓN JUDICIAL DE PASTO, EL SUMINISTRO E INSTALACIÓN DE LAS DIVISIONES EN ALUMINIO E INTERCOMUNICADORES EN EL PALACIO DE JUSTICIA DE PASTO."/>
    <d v="2020-06-08T00:00:00"/>
    <d v="2020-06-10T00:00:00"/>
    <n v="57691400"/>
    <n v="0"/>
    <s v="ADC DECORACIONES LIMITADA"/>
    <n v="830014921"/>
    <s v="SUMINISTRO E INSTALACIÓN DE: INTERCOMUNICADOR POTENCIA INTERNA MÍNIMA: 3   WATTS; POTENCIA    EXTERNA:    5-7.   DIMENSIONES: UNIDAD EXTERNA: DIÁMETRO 12.7 CM, PROFUNDIDAD 4.8 CM. UNIDAD INTERNA: DIÁMETRO 12.7 CM, PROFUNDIDAD 4.8 CM. MICRÓFONO FLEXIBLE: LARGO MÍNIMO: 59 CM. ADAPTADOR DE 110V/220V AC A 12V"/>
    <n v="10"/>
    <s v="UNIDAD"/>
    <n v="1628000"/>
    <n v="0"/>
    <n v="16280000"/>
    <x v="48"/>
  </r>
  <r>
    <x v="13"/>
    <s v="1619602"/>
    <s v="CONTRATAR EN NOMBRE DE LA NACIÓN, CONSEJO SUPERIOR DE JUDICATURA, DIRECCIÓN EJECUTIVA SECCIONAL DE ADMINISTRACIÓN JUDICIAL DE PASTO, EL SUMINISTRO E INSTALACIÓN DE LAS DIVISIONES EN ALUMINIO E INTERCOMUNICADORES EN EL PALACIO DE JUSTICIA DE PASTO."/>
    <d v="2020-06-08T00:00:00"/>
    <d v="2020-06-10T00:00:00"/>
    <n v="57691400"/>
    <n v="0"/>
    <s v="ADC DECORACIONES LIMITADA"/>
    <n v="830014921"/>
    <s v="SUMINISTRO  E  INSTALACIÓN   DE  SALIDA  TOMACORRIENTE PARA INTERCOMUNICADOR"/>
    <n v="10"/>
    <s v="UNIDAD"/>
    <n v="87000"/>
    <n v="0"/>
    <n v="870000"/>
    <x v="25"/>
  </r>
  <r>
    <x v="13"/>
    <s v="1619602"/>
    <s v="CONTRATAR EN NOMBRE DE LA NACIÓN, CONSEJO SUPERIOR DE JUDICATURA, DIRECCIÓN EJECUTIVA SECCIONAL DE ADMINISTRACIÓN JUDICIAL DE PASTO, EL SUMINISTRO E INSTALACIÓN DE LAS DIVISIONES EN ALUMINIO E INTERCOMUNICADORES EN EL PALACIO DE JUSTICIA DE PASTO."/>
    <d v="2020-06-08T00:00:00"/>
    <d v="2020-06-10T00:00:00"/>
    <n v="0"/>
    <n v="14563079"/>
    <s v="ADC DECORACIONES LIMITADA"/>
    <n v="830014921"/>
    <s v="BARRERA. PUERTA  BATIENTE  CON MARCO  DE ALUMINIO  NATURAL  EN PERFIL T-215, ADAPTADOR PROYECTANTE  Y PISA VIDRIO PROYECTANTE 635, CON VIDRIO DE 6 MM, CON VINILO ESMERILADO   SANDBLASTING,    EN   LA   PARTE   INFERIOR   Y SUPERIOR DOBLE VIDRIO DE 6 MM PARA FACILITAR LA COMUNICACIÓN   ENTRE   LA  PARTE   INTERIOR   Y  EXTERIOR, INCLUYE  VENTANA  CORREDIZA  PASA DOCUMENTOS  A UNA ALTURA  DE  90  CMS,  MESÓN  DE  APOYO  PASA DOCUMENTOS   INTERNO   CON   SISTEMA   REMOVIBLE,   EN MDF  CON  CUBIERTA  EN FORMICA  O SIMILAR,  CHAPA  DE SEGURIDAD  170 ¼. INCLUYE ASEO GENERAL"/>
    <n v="32.362397780000002"/>
    <s v="METRO CUADRADO"/>
    <n v="450000"/>
    <n v="0"/>
    <n v="14563079.001"/>
    <x v="13"/>
  </r>
  <r>
    <x v="13"/>
    <s v="1627319"/>
    <s v="CONTRATAR EN NOMBRE DE LA NACIÓN, CONSEJO SUPERIOR DE JUDICATURA, DIRECCIÓN EJECUTIVA SECCIONAL DE ADMINISTRACIÓN JUDICIAL DE PASTO, MEDIANTE LA MODALIDAD DE COMPRA VENTA, LA ADQUISICIÓN DE LAVAMANOS PORTÁTILES CON DESTINO A ALGUNAS SEDES JUDICIALES DE LOS DISTRITOS DE PASTO Y MOCOA."/>
    <d v="2020-06-11T00:00:00"/>
    <d v="2020-06-12T00:00:00"/>
    <n v="32534320"/>
    <n v="0"/>
    <s v="PROINCOL JK SAS"/>
    <n v="900990752"/>
    <s v="LAVAMANOS EN ACERO INOXIDABLE ACCION CON PEDAL DOBLE FUNCIONALIDAD, PORTATIL."/>
    <n v="26"/>
    <s v="UNIDAD"/>
    <n v="1251320"/>
    <n v="0"/>
    <n v="32534320"/>
    <x v="9"/>
  </r>
  <r>
    <x v="13"/>
    <s v="O.C. 50509"/>
    <s v="CONTRATAR EN NOMBRE DE LA NACIÓN, CONSEJO SUPERIOR DE JUDICATURA,_x000a_DIRECCIÓN EJECUTIVA SECCIONAL DE ADMINISTRACIÓN JUDICIAL DE PASTO,_x000a_MEDIANTE LA MODALIDAD DE COMPRAVENTA, LA ADQUISICIÓN DE CARETAS_x000a_PLÁSTICAS PARA LOS SERVIDORES JUDICIALES Y ADMINISTRATIVOS DE LOS DISTRITOS_x000a_PASTO Y MOCOA"/>
    <d v="2020-06-16T00:00:00"/>
    <d v="2020-06-16T00:00:00"/>
    <n v="16884432"/>
    <n v="0"/>
    <s v="PLASTICOS FENIX SAS"/>
    <n v="890307682"/>
    <s v="CARETAS VISORES"/>
    <n v="2400"/>
    <s v="UNIDAD"/>
    <n v="7035.18"/>
    <n v="0"/>
    <n v="16884432"/>
    <x v="11"/>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LACIO DE JUSTICIA DE PASTO      "/>
    <n v="3"/>
    <s v="SEDE"/>
    <n v="938000"/>
    <n v="0"/>
    <n v="2814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ALMACEN SECCIONAL  PASTO"/>
    <n v="3"/>
    <s v="SEDE"/>
    <n v="301500"/>
    <n v="0"/>
    <n v="90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STO- EDIFICIO CHAVES   PASTO"/>
    <n v="3"/>
    <s v="SEDE"/>
    <n v="301500"/>
    <n v="0"/>
    <n v="90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STO - EDIFICIO   RIL    PASTO"/>
    <n v="3"/>
    <s v="SEDE"/>
    <n v="301500"/>
    <n v="0"/>
    <n v="90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STO- EDIFICIO MONTANA   PASTO"/>
    <n v="3"/>
    <s v="SEDE"/>
    <n v="301500"/>
    <n v="0"/>
    <n v="90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STOPASTO - EDIFICIO GENOVA   PASTO"/>
    <n v="3"/>
    <s v="SEDE"/>
    <n v="301500"/>
    <n v="0"/>
    <n v="90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SEDE JUZGADO 1 DE COMPETENCIAS MULTIPLES PASTO"/>
    <n v="2"/>
    <s v="SEDE"/>
    <n v="201000"/>
    <n v="0"/>
    <n v="402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ARCHIVO JUDICIAL PASTO        "/>
    <n v="3"/>
    <s v="SEDE"/>
    <n v="301500"/>
    <n v="0"/>
    <n v="90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DESINFECCION - DESRATIZACION SEDE JUZGADO PROMISCUO MUNICIPAL  ANCUYA"/>
    <n v="2"/>
    <s v="SEDE"/>
    <n v="234500"/>
    <n v="0"/>
    <n v="469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ONSACA"/>
    <n v="2"/>
    <s v="SEDE"/>
    <n v="234500"/>
    <n v="0"/>
    <n v="469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LA FLORIDA"/>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YACUANQUER"/>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EL TABLON DE GOMEZ"/>
    <n v="2"/>
    <s v="SEDE"/>
    <n v="201000"/>
    <n v="0"/>
    <n v="402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TAMINANGO"/>
    <n v="2"/>
    <s v="SEDE"/>
    <n v="234500"/>
    <n v="0"/>
    <n v="469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DONA"/>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POLICARPA"/>
    <n v="1"/>
    <s v="SEDE"/>
    <n v="268000"/>
    <n v="0"/>
    <n v="268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EL ROSARIO"/>
    <n v="1"/>
    <s v="SEDE"/>
    <n v="268000"/>
    <n v="0"/>
    <n v="268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LEYVA"/>
    <n v="2"/>
    <s v="SEDE"/>
    <n v="335000"/>
    <n v="0"/>
    <n v="670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NARIÑO"/>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HACHAGUI"/>
    <n v="2"/>
    <s v="SEDE"/>
    <n v="268000"/>
    <n v="0"/>
    <n v="536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EL TAMBO"/>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EL PEÑOL"/>
    <n v="1"/>
    <s v="SEDE"/>
    <n v="167500"/>
    <n v="0"/>
    <n v="167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TANGUA"/>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BUESACO"/>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LACIO DE JUSTICIA DE IPIALES    "/>
    <n v="3"/>
    <s v="SEDE"/>
    <n v="670000"/>
    <n v="0"/>
    <n v="2010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ALDANA"/>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PUERRES"/>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UMBAL "/>
    <n v="2"/>
    <s v="SEDE"/>
    <n v="234500"/>
    <n v="0"/>
    <n v="469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UMBAL "/>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ILES"/>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UASPUD"/>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PUPIALES"/>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ORDOBA"/>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GUACHUCAL"/>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POTOSI"/>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GUALMATAN"/>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FUNES"/>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EL CONTADERO"/>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LACIO DE JUSTICIA DE LA UNION       "/>
    <n v="2"/>
    <s v="SEDE"/>
    <n v="301500"/>
    <n v="0"/>
    <n v="603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 LORENZO"/>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ARBOLEDA"/>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 PEDRO DE CARTAGO"/>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DONDE FUNCIONAN JUZGADO PROMISCUO DE FAMILIA,  JUZGADO PROMISCUO DEL CIRCUITO,  JUZGADOS PRIMERO Y SEGUNDO PROMISCUO MUNICIPAL   DE  BARBACOAS"/>
    <n v="2"/>
    <s v="SEDE"/>
    <n v="569500"/>
    <n v="0"/>
    <n v="1139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MAGUI PAYAN"/>
    <n v="1"/>
    <s v="SEDE"/>
    <n v="301500"/>
    <n v="0"/>
    <n v="301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ROBERTO PAYAN"/>
    <n v="1"/>
    <s v="SEDE"/>
    <n v="301500"/>
    <n v="0"/>
    <n v="301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DONDE FUNCIONAN JUZGADO PROMISCUO  DEL CIRCUITO,  JUZGADO PROMISCUO MUNICIPAL  LA CRUZ"/>
    <n v="2"/>
    <s v="SEDE"/>
    <n v="234500"/>
    <n v="0"/>
    <n v="469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DE FAMILIA LA CRUZ"/>
    <n v="2"/>
    <s v="SEDE"/>
    <n v="167500"/>
    <n v="0"/>
    <n v="335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BELEN"/>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 JOSE"/>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 PABLO"/>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OLON GENOVA"/>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 BERNARDO"/>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DONDE FUNCIONAN JUZGADO PROMISCUO   JUZGADO PROMISCUO DEL CIRCUITO,  JUZGADOS PRIMERO Y SEGUNDO PROMISCUO MUNICIPAL   DE SAMANIEGO"/>
    <n v="2"/>
    <s v="SEDE"/>
    <n v="234500"/>
    <n v="0"/>
    <n v="469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DE FAMILIA SAMANIEGO"/>
    <n v="2"/>
    <s v="SEDE"/>
    <n v="201000"/>
    <n v="0"/>
    <n v="402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UMBITARA"/>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LINARES"/>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LA LLANADA"/>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PROVIDENCIA"/>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LOS ANDES SOTOMAYOR"/>
    <n v="2"/>
    <s v="SEDE"/>
    <n v="234500"/>
    <n v="0"/>
    <n v="469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LACIO DE JUSTICIA  DE TUMACO          "/>
    <n v="3"/>
    <s v="SEDE"/>
    <n v="569500"/>
    <n v="0"/>
    <n v="1708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S  DE ADOSLESCENCIA, EJECUCION DE PENAS,  ARCHIVO JUDICIAL  DE TUMACO"/>
    <n v="3"/>
    <s v="SEDE"/>
    <n v="268000"/>
    <n v="0"/>
    <n v="804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EL CHARCO"/>
    <n v="1"/>
    <s v="SEDE"/>
    <n v="938000"/>
    <n v="0"/>
    <n v="938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MOSQUERA"/>
    <n v="1"/>
    <s v="SEDE"/>
    <n v="938000"/>
    <n v="0"/>
    <n v="938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OLAYA HERRERA"/>
    <n v="1"/>
    <s v="SEDE"/>
    <n v="938000"/>
    <n v="0"/>
    <n v="938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FRANCISCO PIZARRO"/>
    <n v="1"/>
    <s v="SEDE"/>
    <n v="938000"/>
    <n v="0"/>
    <n v="938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LA TOLA"/>
    <n v="1"/>
    <s v="SEDE"/>
    <n v="938000"/>
    <n v="0"/>
    <n v="938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TA BARBARA"/>
    <n v="1"/>
    <s v="SEDE"/>
    <n v="938000"/>
    <n v="0"/>
    <n v="938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LACIO DE JUSTICIA  TUQUERRES         "/>
    <n v="1"/>
    <s v="SEDE"/>
    <n v="301500"/>
    <n v="0"/>
    <n v="301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ARCHIVO TUQUERRES           "/>
    <n v="1"/>
    <s v="SEDE"/>
    <n v="234500"/>
    <n v="0"/>
    <n v="234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GUAITARILLA"/>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IMUEZ"/>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PIEDRANCHA"/>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OSPINA"/>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GUACHAVEZ"/>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RICAURTE"/>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PUYES"/>
    <n v="1"/>
    <s v="SEDE"/>
    <n v="201000"/>
    <n v="0"/>
    <n v="201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LACIO DE JUSTICIA DE MOCOA      "/>
    <n v="3"/>
    <s v="SEDE"/>
    <n v="670000"/>
    <n v="0"/>
    <n v="2010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EDIFICIO CASTILLO REAL  - BARRIO EL NARANJITO MOCOA"/>
    <n v="3"/>
    <s v="SEDE"/>
    <n v="335000"/>
    <n v="0"/>
    <n v="1005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VILLAGARZON"/>
    <n v="2"/>
    <s v="SEDE"/>
    <n v="201000"/>
    <n v="0"/>
    <n v="402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PUERTO GUZMAN"/>
    <n v="1"/>
    <s v="SEDE"/>
    <n v="402000"/>
    <n v="0"/>
    <n v="402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PALACIO DE JUSTICIA PUERTO ASIS"/>
    <n v="3"/>
    <s v="SEDE"/>
    <n v="402000"/>
    <n v="0"/>
    <n v="1206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LA HORMIGA"/>
    <n v="2"/>
    <s v="SEDE"/>
    <n v="268000"/>
    <n v="0"/>
    <n v="536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ORITO"/>
    <n v="3"/>
    <s v="SEDE"/>
    <n v="268000"/>
    <n v="0"/>
    <n v="804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PUERTO CAICEDO"/>
    <n v="1"/>
    <s v="SEDE"/>
    <n v="301500"/>
    <n v="0"/>
    <n v="301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 MIGUEL PUTUMAYO"/>
    <n v="1"/>
    <s v="SEDE"/>
    <n v="301500"/>
    <n v="0"/>
    <n v="301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DEL CIRCUITO,  JUZGADO PROMISCUO MUNICIPAL Y JUZGADO PROMISCUO DE FAMILIA DE SIBUNDOY"/>
    <n v="2"/>
    <s v="SEDE"/>
    <n v="234500"/>
    <n v="0"/>
    <n v="4690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 FRANCISCO PUTUMAYO"/>
    <n v="1"/>
    <s v="SEDE"/>
    <n v="167500"/>
    <n v="0"/>
    <n v="167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SANTIAGO PUTUMAYO"/>
    <n v="1"/>
    <s v="SEDE"/>
    <n v="167500"/>
    <n v="0"/>
    <n v="167500"/>
    <x v="39"/>
  </r>
  <r>
    <x v="13"/>
    <s v="1642111"/>
    <s v="CONTRATAR EN NOMBRE DE LA NACIÓN, CONSEJO SUPERIOR DE JUDICATURA, DIRECCIÓN EJECUTIVA SECCIONAL DE ADMINISTRACIÓN JUDICIAL DE PASTO EL SUMINISTRO DE SERVICIOS DE FUMIGACIÓN, DESINFECCIÓN Y DESRATIZACIÓN DE LAS SEDES DONDE FUNCIONAN LOS DESPACHOS JUDICIALES DE NARIÑO Y PUTUMAYO, DE ACUERDO CON LAS ESPECIFICACIONES DEL OBJETO CONTRACTUAL."/>
    <d v="2020-06-19T00:00:00"/>
    <d v="2020-06-23T00:00:00"/>
    <n v="44287000"/>
    <n v="0"/>
    <s v="ECO PLAGAS PUTUMAYO"/>
    <n v="1082127888"/>
    <s v="DESINFECCION - DESRATIZACION SEDE JUZGADO PROMISCUO MUNICIPAL  COLON PUTUMAYO"/>
    <n v="1"/>
    <s v="SEDE"/>
    <n v="167500"/>
    <n v="0"/>
    <n v="167500"/>
    <x v="39"/>
  </r>
  <r>
    <x v="13"/>
    <s v="O.C. 50868"/>
    <s v="CONTRATAR EN NOMBRE DE LA NACIÓN, CONSEJO SUPERIOR DE JUDICATURA, DIRECCIÓN_x000a_EJECUTIVA SECCIONAL DE ADMINISTRACIÓN JUDICIAL DE PASTO LA ADQUISICIÓN MEDIANTE_x000a_LA MODALIDAD DE COMPRAVENTA DE CONTENEDORES DE RESIDUOS, PARA UBICAR EN LAS_x000a_SEDES JUDICIALES DE LOS DISTRITOS JUDICIALES DE PASTO Y MOCOA"/>
    <d v="2020-06-23T00:00:00"/>
    <d v="2020-06-23T00:00:00"/>
    <n v="13923759"/>
    <n v="0"/>
    <s v="CENCOSUD COLOMBIA S.A."/>
    <n v="900155107"/>
    <s v="CANECA 35 LT ROJA TAPA PEDAL"/>
    <n v="250"/>
    <s v="UNIDAD"/>
    <n v="46802.551260504202"/>
    <n v="8892.4847394957978"/>
    <n v="13923759"/>
    <x v="15"/>
  </r>
  <r>
    <x v="13"/>
    <s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LA CRUZ"/>
    <n v="2"/>
    <s v="VALOR MENSUAL POR PERSONA"/>
    <n v="2125000"/>
    <n v="0"/>
    <n v="4250000"/>
    <x v="6"/>
  </r>
  <r>
    <x v="13"/>
    <s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SAMANIEGO"/>
    <n v="2"/>
    <s v="VALOR MENSUAL POR PERSONA"/>
    <n v="2125000"/>
    <n v="0"/>
    <n v="4250000"/>
    <x v="6"/>
  </r>
  <r>
    <x v="13"/>
    <s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TUMACO"/>
    <n v="2"/>
    <s v="VALOR MENSUAL POR PERSONA"/>
    <n v="2125000"/>
    <n v="0"/>
    <n v="4250000"/>
    <x v="6"/>
  </r>
  <r>
    <x v="13"/>
    <s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TUQUERRES"/>
    <n v="2"/>
    <s v="VALOR MENSUAL POR PERSONA"/>
    <n v="2125000"/>
    <n v="0"/>
    <n v="4250000"/>
    <x v="6"/>
  </r>
  <r>
    <x v="13"/>
    <s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IPIALES"/>
    <n v="2"/>
    <s v="VALOR MENSUAL POR PERSONA"/>
    <n v="2125000"/>
    <n v="0"/>
    <n v="4250000"/>
    <x v="6"/>
  </r>
  <r>
    <x v="13"/>
    <s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BARBACOAS"/>
    <n v="2"/>
    <s v="VALOR MENSUAL POR PERSONA"/>
    <n v="2125000"/>
    <n v="0"/>
    <n v="4250000"/>
    <x v="6"/>
  </r>
  <r>
    <x v="13"/>
    <s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LA UNIÓN"/>
    <n v="2"/>
    <s v="VALOR MENSUAL POR PERSONA"/>
    <n v="2125000"/>
    <n v="0"/>
    <n v="4250000"/>
    <x v="6"/>
  </r>
  <r>
    <x v="13"/>
    <s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MOCOA"/>
    <n v="2"/>
    <s v="VALOR MENSUAL POR PERSONA"/>
    <n v="2125000"/>
    <n v="0"/>
    <n v="4250000"/>
    <x v="6"/>
  </r>
  <r>
    <x v="13"/>
    <s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PUERTO ASÍS"/>
    <n v="2"/>
    <s v="VALOR MENSUAL POR PERSONA"/>
    <n v="2125000"/>
    <n v="0"/>
    <n v="4250000"/>
    <x v="6"/>
  </r>
  <r>
    <x v="13"/>
    <s v="1651630"/>
    <s v="CONTRATAR EN NOMBRE DE LA NACIÓN, CONSEJO SUPERIOR DE JUDICATURA, DIRECCIÓN EJECUTIVA SECCIONAL DE ADMINISTRACIÓN JUDICIAL DE PASTO EL SERVICIO DE VIGÍA DE LA SALUD EN ALGUNAS SEDES JUDICIALES DE LOS DISTRITOS DE PASTO Y MOCOA"/>
    <d v="2020-06-26T00:00:00"/>
    <d v="2020-07-01T00:00:00"/>
    <n v="42500000"/>
    <n v="0"/>
    <s v="IPS PROTEGEMOS"/>
    <n v="900589666"/>
    <s v="VIGÍAS DE LA SALUD EN: SIBUNDOY"/>
    <n v="2"/>
    <s v="VALOR MENSUAL POR PERSONA"/>
    <n v="2125000"/>
    <n v="0"/>
    <n v="4250000"/>
    <x v="6"/>
  </r>
  <r>
    <x v="13"/>
    <s v="1839277"/>
    <s v="CONTRATAR EN NOMBRE DE LA NACIÓN, CONSEJO SUPERIOR DE JUDICATURA, DIRECCIÓN EJECUTIVA SECCIONAL DE ADMINISTRACIÓN JUDICIAL DE PASTO, MEDIANTE LA MODALIDAD DE COMPRAVENTA, LA ADQUISICIÓN DE SEÑALÉTICA SOBRE MEDIDAS DE PREVENCIÓN DEL COVID19, CON DESTINO A LAS DIFERENTES SEDES JUDICIALES DE LOS DISTRITOS DE PASTO Y MOCOA"/>
    <d v="2020-09-14T00:00:00"/>
    <d v="2020-09-25T00:00:00"/>
    <n v="6620000"/>
    <n v="0"/>
    <s v="NICOLAS BRACK CASTAÑEDA"/>
    <n v="14319641"/>
    <s v="SEÑAL EN POLIESTILENO CAL. 60 -  USO DE TAPABOCAS: MEDIDAS 40 CM (ANCHO) X 60 CM (LARGO) VERTICAL CON IMPRESIÓN DE VINILO AL ESPEJO - FULL COLOR Y CINTA DOBLE FAX. "/>
    <n v="50"/>
    <s v="UNIDAD"/>
    <n v="18000"/>
    <n v="0"/>
    <n v="900000"/>
    <x v="33"/>
  </r>
  <r>
    <x v="13"/>
    <s v="1839277"/>
    <s v="CONTRATAR EN NOMBRE DE LA NACIÓN, CONSEJO SUPERIOR DE JUDICATURA, DIRECCIÓN EJECUTIVA SECCIONAL DE ADMINISTRACIÓN JUDICIAL DE PASTO, MEDIANTE LA MODALIDAD DE COMPRAVENTA, LA ADQUISICIÓN DE SEÑALÉTICA SOBRE MEDIDAS DE PREVENCIÓN DEL COVID19, CON DESTINO A LAS DIFERENTES SEDES JUDICIALES DE LOS DISTRITOS DE PASTO Y MOCOA"/>
    <d v="2020-09-14T00:00:00"/>
    <d v="2020-09-25T00:00:00"/>
    <n v="6620000"/>
    <n v="0"/>
    <s v="NICOLAS BRACK CASTAÑEDA"/>
    <n v="14319641"/>
    <s v="SEÑAL EN POLIESTILENO CAL. 60 -  GEL ANTIBACTERIAL: MEDIDAS 40 CM (ANCHO) X 60 CM (LARGO) VERTICAL CON IMPRESIÓN DE VINILO AL ESPEJO - FULL COLOR  Y CINTA DOBLE FAX. "/>
    <n v="50"/>
    <s v="UNIDAD"/>
    <n v="18000"/>
    <n v="0"/>
    <n v="900000"/>
    <x v="33"/>
  </r>
  <r>
    <x v="13"/>
    <s v="1839277"/>
    <s v="CONTRATAR EN NOMBRE DE LA NACIÓN, CONSEJO SUPERIOR DE JUDICATURA, DIRECCIÓN EJECUTIVA SECCIONAL DE ADMINISTRACIÓN JUDICIAL DE PASTO, MEDIANTE LA MODALIDAD DE COMPRAVENTA, LA ADQUISICIÓN DE SEÑALÉTICA SOBRE MEDIDAS DE PREVENCIÓN DEL COVID19, CON DESTINO A LAS DIFERENTES SEDES JUDICIALES DE LOS DISTRITOS DE PASTO Y MOCOA"/>
    <d v="2020-09-14T00:00:00"/>
    <d v="2020-09-25T00:00:00"/>
    <n v="6620000"/>
    <n v="0"/>
    <s v="NICOLAS BRACK CASTAÑEDA"/>
    <n v="14319641"/>
    <s v="SEÑAL EN POLIESTILENO CAL. 60 - INGRESO A SEDES: MEDIDAS 80 CM (ANCHO) X 60 CM (LARGO) VERTICAL CON IMPRESIÓN DE VINILO AL ESPEJO - FULL COLOR  Y CINTA DOBLE FAX. "/>
    <n v="20"/>
    <s v="UNIDAD"/>
    <n v="25000"/>
    <n v="0"/>
    <n v="500000"/>
    <x v="33"/>
  </r>
  <r>
    <x v="13"/>
    <s v="1839277"/>
    <s v="CONTRATAR EN NOMBRE DE LA NACIÓN, CONSEJO SUPERIOR DE JUDICATURA, DIRECCIÓN EJECUTIVA SECCIONAL DE ADMINISTRACIÓN JUDICIAL DE PASTO, MEDIANTE LA MODALIDAD DE COMPRAVENTA, LA ADQUISICIÓN DE SEÑALÉTICA SOBRE MEDIDAS DE PREVENCIÓN DEL COVID19, CON DESTINO A LAS DIFERENTES SEDES JUDICIALES DE LOS DISTRITOS DE PASTO Y MOCOA"/>
    <d v="2020-09-14T00:00:00"/>
    <d v="2020-09-25T00:00:00"/>
    <n v="6620000"/>
    <n v="0"/>
    <s v="NICOLAS BRACK CASTAÑEDA"/>
    <n v="14319641"/>
    <s v="SEÑAL EN POLIESTILENO CAL. 60 - LAVADO DE MANOS: MEDIDAS 40 CM (ANCHO) X 60 CM (LARGO) VERTICAL CON IMPRESIÓN DE VINILO AL ESPEJO - FULL COLOR Y CINTA DOBLE FAX. "/>
    <n v="50"/>
    <s v="UNIDAD"/>
    <n v="18000"/>
    <n v="0"/>
    <n v="900000"/>
    <x v="33"/>
  </r>
  <r>
    <x v="13"/>
    <s v="1839277"/>
    <s v="CONTRATAR EN NOMBRE DE LA NACIÓN, CONSEJO SUPERIOR DE JUDICATURA, DIRECCIÓN EJECUTIVA SECCIONAL DE ADMINISTRACIÓN JUDICIAL DE PASTO, MEDIANTE LA MODALIDAD DE COMPRAVENTA, LA ADQUISICIÓN DE SEÑALÉTICA SOBRE MEDIDAS DE PREVENCIÓN DEL COVID19, CON DESTINO A LAS DIFERENTES SEDES JUDICIALES DE LOS DISTRITOS DE PASTO Y MOCOA"/>
    <d v="2020-09-14T00:00:00"/>
    <d v="2020-09-25T00:00:00"/>
    <n v="6620000"/>
    <n v="0"/>
    <s v="NICOLAS BRACK CASTAÑEDA"/>
    <n v="14319641"/>
    <s v="SEÑAL EN POLIESTILENO CAL. 60 -  MEDIDAS DE PREVENCION: MEDIDAS 40 CM (ANCHO) X 60 CM (LARGO) VERTICAL CON IMPRESIÓN DE VINILO AL ESPEJO - FULL COLOR Y CINTA DOBLE FAX. "/>
    <n v="50"/>
    <s v="UNIDAD"/>
    <n v="18000"/>
    <n v="0"/>
    <n v="900000"/>
    <x v="33"/>
  </r>
  <r>
    <x v="13"/>
    <s v="1839277"/>
    <s v="CONTRATAR EN NOMBRE DE LA NACIÓN, CONSEJO SUPERIOR DE JUDICATURA, DIRECCIÓN EJECUTIVA SECCIONAL DE ADMINISTRACIÓN JUDICIAL DE PASTO, MEDIANTE LA MODALIDAD DE COMPRAVENTA, LA ADQUISICIÓN DE SEÑALÉTICA SOBRE MEDIDAS DE PREVENCIÓN DEL COVID19, CON DESTINO A LAS DIFERENTES SEDES JUDICIALES DE LOS DISTRITOS DE PASTO Y MOCOA"/>
    <d v="2020-09-14T00:00:00"/>
    <d v="2020-09-25T00:00:00"/>
    <n v="6620000"/>
    <n v="0"/>
    <s v="NICOLAS BRACK CASTAÑEDA"/>
    <n v="14319641"/>
    <s v="IMPRESIÓN VINILO LAMINADOFLOORGRAPHIC - FULL COLOR -  USO DE ASCENSORES MEDIDAS: 40 X 60 VERTICAL"/>
    <n v="10"/>
    <s v="UNIDAD"/>
    <n v="12000"/>
    <n v="0"/>
    <n v="120000"/>
    <x v="33"/>
  </r>
  <r>
    <x v="13"/>
    <s v="1839277"/>
    <s v="CONTRATAR EN NOMBRE DE LA NACIÓN, CONSEJO SUPERIOR DE JUDICATURA, DIRECCIÓN EJECUTIVA SECCIONAL DE ADMINISTRACIÓN JUDICIAL DE PASTO, MEDIANTE LA MODALIDAD DE COMPRAVENTA, LA ADQUISICIÓN DE SEÑALÉTICA SOBRE MEDIDAS DE PREVENCIÓN DEL COVID19, CON DESTINO A LAS DIFERENTES SEDES JUDICIALES DE LOS DISTRITOS DE PASTO Y MOCOA"/>
    <d v="2020-09-14T00:00:00"/>
    <d v="2020-09-25T00:00:00"/>
    <n v="6620000"/>
    <n v="0"/>
    <s v="NICOLAS BRACK CASTAÑEDA"/>
    <n v="14319641"/>
    <s v="IMPRESIÓN VINILO LAMINADOFLOORGRAPHIC  - FULL COLOR - HUELLAS 35 CM DIAMETRO"/>
    <n v="300"/>
    <s v="UNIDAD"/>
    <n v="8000"/>
    <n v="0"/>
    <n v="2400000"/>
    <x v="33"/>
  </r>
  <r>
    <x v="13"/>
    <s v="1937118"/>
    <s v="CONTRATAR EN NOMBRE DE LA NACIÓN, CONSEJO SUPERIOR DE JUDICATURA, DIRECCIÓN EJECUTIVA SECCIONAL DE ADMINISTRACIÓN JUDICIAL DE PASTO EL SERVICIO DE VIGÍAS DE LA SALUD EN ALGUNAS SEDES JUDICIALES DE LOS DISTRITOS DE PASTO Y MOCOA"/>
    <d v="2020-10-23T00:00:00"/>
    <d v="2020-10-30T00:00:00"/>
    <n v="56166581"/>
    <n v="0"/>
    <s v="CORPORACION VILLEGAS CONSULTORES"/>
    <n v="900152830"/>
    <s v="VIGÍAS DE LA SALUD EN: PASTO"/>
    <n v="2.1666666999999999"/>
    <s v="VALOR MENSUAL POR PERSONA"/>
    <n v="9721138.6899999995"/>
    <n v="0"/>
    <n v="21062467.485704623"/>
    <x v="6"/>
  </r>
  <r>
    <x v="13"/>
    <s v="1937118"/>
    <s v="CONTRATAR EN NOMBRE DE LA NACIÓN, CONSEJO SUPERIOR DE JUDICATURA, DIRECCIÓN EJECUTIVA SECCIONAL DE ADMINISTRACIÓN JUDICIAL DE PASTO EL SERVICIO DE VIGÍAS DE LA SALUD EN ALGUNAS SEDES JUDICIALES DE LOS DISTRITOS DE PASTO Y MOCOA"/>
    <d v="2020-10-23T00:00:00"/>
    <d v="2020-10-30T00:00:00"/>
    <n v="56166581"/>
    <n v="0"/>
    <s v="CORPORACION VILLEGAS CONSULTORES"/>
    <n v="900152830"/>
    <s v="VIGÍAS DE LA SALUD EN: LA CRUZ"/>
    <n v="2.1666666999999999"/>
    <s v="VALOR MENSUAL POR PERSONA"/>
    <n v="1620189.83"/>
    <n v="0"/>
    <n v="3510411.3523396612"/>
    <x v="6"/>
  </r>
  <r>
    <x v="13"/>
    <s v="1937118"/>
    <s v="CONTRATAR EN NOMBRE DE LA NACIÓN, CONSEJO SUPERIOR DE JUDICATURA, DIRECCIÓN EJECUTIVA SECCIONAL DE ADMINISTRACIÓN JUDICIAL DE PASTO EL SERVICIO DE VIGÍAS DE LA SALUD EN ALGUNAS SEDES JUDICIALES DE LOS DISTRITOS DE PASTO Y MOCOA"/>
    <d v="2020-10-23T00:00:00"/>
    <d v="2020-10-30T00:00:00"/>
    <n v="56166581"/>
    <n v="0"/>
    <s v="CORPORACION VILLEGAS CONSULTORES"/>
    <n v="900152830"/>
    <s v="VIGÍAS DE LA SALUD EN: SAMANIEGO"/>
    <n v="2.1666666999999999"/>
    <s v="VALOR MENSUAL POR PERSONA"/>
    <n v="1620189.83"/>
    <n v="0"/>
    <n v="3510411.3523396612"/>
    <x v="6"/>
  </r>
  <r>
    <x v="13"/>
    <s v="1937118"/>
    <s v="CONTRATAR EN NOMBRE DE LA NACIÓN, CONSEJO SUPERIOR DE JUDICATURA, DIRECCIÓN EJECUTIVA SECCIONAL DE ADMINISTRACIÓN JUDICIAL DE PASTO EL SERVICIO DE VIGÍAS DE LA SALUD EN ALGUNAS SEDES JUDICIALES DE LOS DISTRITOS DE PASTO Y MOCOA"/>
    <d v="2020-10-23T00:00:00"/>
    <d v="2020-10-30T00:00:00"/>
    <n v="56166581"/>
    <n v="0"/>
    <s v="CORPORACION VILLEGAS CONSULTORES"/>
    <n v="900152830"/>
    <s v="VIGÍAS DE LA SALUD EN: TUMACO"/>
    <n v="2.1666666999999999"/>
    <s v="VALOR MENSUAL POR PERSONA"/>
    <n v="1620189.83"/>
    <n v="0"/>
    <n v="3510411.3523396612"/>
    <x v="6"/>
  </r>
  <r>
    <x v="13"/>
    <s v="1937118"/>
    <s v="CONTRATAR EN NOMBRE DE LA NACIÓN, CONSEJO SUPERIOR DE JUDICATURA, DIRECCIÓN EJECUTIVA SECCIONAL DE ADMINISTRACIÓN JUDICIAL DE PASTO EL SERVICIO DE VIGÍAS DE LA SALUD EN ALGUNAS SEDES JUDICIALES DE LOS DISTRITOS DE PASTO Y MOCOA"/>
    <d v="2020-10-23T00:00:00"/>
    <d v="2020-10-30T00:00:00"/>
    <n v="56166581"/>
    <n v="0"/>
    <s v="CORPORACION VILLEGAS CONSULTORES"/>
    <n v="900152830"/>
    <s v="VIGÍAS DE LA SALUD EN: TUQUERRES"/>
    <n v="2.1666666999999999"/>
    <s v="VALOR MENSUAL POR PERSONA"/>
    <n v="1620189.83"/>
    <n v="0"/>
    <n v="3510411.3523396612"/>
    <x v="6"/>
  </r>
  <r>
    <x v="13"/>
    <s v="1937118"/>
    <s v="CONTRATAR EN NOMBRE DE LA NACIÓN, CONSEJO SUPERIOR DE JUDICATURA, DIRECCIÓN EJECUTIVA SECCIONAL DE ADMINISTRACIÓN JUDICIAL DE PASTO EL SERVICIO DE VIGÍAS DE LA SALUD EN ALGUNAS SEDES JUDICIALES DE LOS DISTRITOS DE PASTO Y MOCOA"/>
    <d v="2020-10-23T00:00:00"/>
    <d v="2020-10-30T00:00:00"/>
    <n v="56166581"/>
    <n v="0"/>
    <s v="CORPORACION VILLEGAS CONSULTORES"/>
    <n v="900152830"/>
    <s v="VIGÍAS DE LA SALUD EN: IPIALES"/>
    <n v="2.1666666999999999"/>
    <s v="VALOR MENSUAL POR PERSONA"/>
    <n v="1620189.83"/>
    <n v="0"/>
    <n v="3510411.3523396612"/>
    <x v="6"/>
  </r>
  <r>
    <x v="13"/>
    <s v="1937118"/>
    <s v="CONTRATAR EN NOMBRE DE LA NACIÓN, CONSEJO SUPERIOR DE JUDICATURA, DIRECCIÓN EJECUTIVA SECCIONAL DE ADMINISTRACIÓN JUDICIAL DE PASTO EL SERVICIO DE VIGÍAS DE LA SALUD EN ALGUNAS SEDES JUDICIALES DE LOS DISTRITOS DE PASTO Y MOCOA"/>
    <d v="2020-10-23T00:00:00"/>
    <d v="2020-10-30T00:00:00"/>
    <n v="56166581"/>
    <n v="0"/>
    <s v="CORPORACION VILLEGAS CONSULTORES"/>
    <n v="900152830"/>
    <s v="VIGÍAS DE LA SALUD EN: BARBACOAS"/>
    <n v="2.1666666999999999"/>
    <s v="VALOR MENSUAL POR PERSONA"/>
    <n v="1620189.83"/>
    <n v="0"/>
    <n v="3510411.3523396612"/>
    <x v="6"/>
  </r>
  <r>
    <x v="13"/>
    <s v="1937118"/>
    <s v="CONTRATAR EN NOMBRE DE LA NACIÓN, CONSEJO SUPERIOR DE JUDICATURA, DIRECCIÓN EJECUTIVA SECCIONAL DE ADMINISTRACIÓN JUDICIAL DE PASTO EL SERVICIO DE VIGÍAS DE LA SALUD EN ALGUNAS SEDES JUDICIALES DE LOS DISTRITOS DE PASTO Y MOCOA"/>
    <d v="2020-10-23T00:00:00"/>
    <d v="2020-10-30T00:00:00"/>
    <n v="56166581"/>
    <n v="0"/>
    <s v="CORPORACION VILLEGAS CONSULTORES"/>
    <n v="900152830"/>
    <s v="VIGÍAS DE LA SALUD EN: LA UNIÓN"/>
    <n v="2.1666666999999999"/>
    <s v="VALOR MENSUAL POR PERSONA"/>
    <n v="1620189.83"/>
    <n v="0"/>
    <n v="3510411.3523396612"/>
    <x v="6"/>
  </r>
  <r>
    <x v="13"/>
    <s v="1937118"/>
    <s v="CONTRATAR EN NOMBRE DE LA NACIÓN, CONSEJO SUPERIOR DE JUDICATURA, DIRECCIÓN EJECUTIVA SECCIONAL DE ADMINISTRACIÓN JUDICIAL DE PASTO EL SERVICIO DE VIGÍAS DE LA SALUD EN ALGUNAS SEDES JUDICIALES DE LOS DISTRITOS DE PASTO Y MOCOA"/>
    <d v="2020-10-23T00:00:00"/>
    <d v="2020-10-30T00:00:00"/>
    <n v="56166581"/>
    <n v="0"/>
    <s v="CORPORACION VILLEGAS CONSULTORES"/>
    <n v="900152830"/>
    <s v="VIGÍAS DE LA SALUD EN: MOCOA"/>
    <n v="2.1666666999999999"/>
    <s v="VALOR MENSUAL POR PERSONA"/>
    <n v="1620189.83"/>
    <n v="0"/>
    <n v="3510411.3523396612"/>
    <x v="6"/>
  </r>
  <r>
    <x v="13"/>
    <s v="1937118"/>
    <s v="CONTRATAR EN NOMBRE DE LA NACIÓN, CONSEJO SUPERIOR DE JUDICATURA, DIRECCIÓN EJECUTIVA SECCIONAL DE ADMINISTRACIÓN JUDICIAL DE PASTO EL SERVICIO DE VIGÍAS DE LA SALUD EN ALGUNAS SEDES JUDICIALES DE LOS DISTRITOS DE PASTO Y MOCOA"/>
    <d v="2020-10-23T00:00:00"/>
    <d v="2020-10-30T00:00:00"/>
    <n v="56166581"/>
    <n v="0"/>
    <s v="CORPORACION VILLEGAS CONSULTORES"/>
    <n v="900152830"/>
    <s v="VIGÍAS DE LA SALUD EN: PUERTO ASÍS"/>
    <n v="2.1666666999999999"/>
    <s v="VALOR MENSUAL POR PERSONA"/>
    <n v="1620189.83"/>
    <n v="0"/>
    <n v="3510411.3523396612"/>
    <x v="6"/>
  </r>
  <r>
    <x v="13"/>
    <s v="1937118"/>
    <s v="CONTRATAR EN NOMBRE DE LA NACIÓN, CONSEJO SUPERIOR DE JUDICATURA, DIRECCIÓN EJECUTIVA SECCIONAL DE ADMINISTRACIÓN JUDICIAL DE PASTO EL SERVICIO DE VIGÍAS DE LA SALUD EN ALGUNAS SEDES JUDICIALES DE LOS DISTRITOS DE PASTO Y MOCOA"/>
    <d v="2020-10-23T00:00:00"/>
    <d v="2020-10-30T00:00:00"/>
    <n v="56166581"/>
    <n v="0"/>
    <s v="CORPORACION VILLEGAS CONSULTORES"/>
    <n v="900152830"/>
    <s v="VIGÍAS DE LA SALUD EN: SIBUNDOY"/>
    <n v="2.1666666999999999"/>
    <s v="VALOR MENSUAL POR PERSONA"/>
    <n v="1620189.83"/>
    <n v="0"/>
    <n v="3510411.3523396612"/>
    <x v="6"/>
  </r>
  <r>
    <x v="13"/>
    <s v="OC 55762"/>
    <s v="CONTRATAR EN NOMBRE DE LA NACIÓN, CONSEJO SUPERIOR DE JUDICATURA, DIRECCIÓN EJECUTIVA SECCIONAL DE ADMINISTRACIÓN JUDICIAL DE PASTO LA ADQUISICIÓN MEDIANTE LA MODALIDAD DE COMPRAVENTA DE TAPABOCAS Y GUANTES PARA LOS SERVIDORES JUDICIALES, ADMINISTRATIVOS Y USUARIOS DE LOS DISTRITOS JUDICIALES DE PASTO Y MOCOA"/>
    <d v="2020-09-25T00:00:00"/>
    <d v="2020-09-25T00:00:00"/>
    <n v="19545729"/>
    <n v="0"/>
    <s v="TIKKE SAS"/>
    <n v="900330957"/>
    <s v="TAPABOCAS DESECHABLES"/>
    <n v="136000"/>
    <s v="UNIDAD"/>
    <n v="143.71860000000001"/>
    <n v="0"/>
    <n v="19545729.600000001"/>
    <x v="3"/>
  </r>
  <r>
    <x v="13"/>
    <s v="OC 55762"/>
    <s v="CONTRATAR EN NOMBRE DE LA NACIÓN, CONSEJO SUPERIOR DE JUDICATURA, DIRECCIÓN EJECUTIVA SECCIONAL DE ADMINISTRACIÓN JUDICIAL DE PASTO LA ADQUISICIÓN MEDIANTE LA MODALIDAD DE COMPRAVENTA DE TAPABOCAS Y GUANTES PARA LOS SERVIDORES JUDICIALES, ADMINISTRATIVOS Y USUARIOS DE LOS DISTRITOS JUDICIALES DE PASTO Y MOCOA"/>
    <d v="2020-09-25T00:00:00"/>
    <d v="2020-09-25T00:00:00"/>
    <m/>
    <n v="1437186"/>
    <s v="TIKKE SAS"/>
    <n v="900330957"/>
    <s v="TAPABOCAS DESECHABLES"/>
    <n v="10000"/>
    <s v="UNIDAD"/>
    <n v="143.71860000000001"/>
    <n v="0"/>
    <n v="1437186"/>
    <x v="3"/>
  </r>
  <r>
    <x v="13"/>
    <s v="OC 55763 "/>
    <s v="CONTRATAR EN NOMBRE DE LA  NACIÓN, CONSEJO SUPERIOR DE JUDICATURA, DIRECCIÓN EJECUTIVA SECCIONAL DE ADMINISTRACIÓN JUDICIAL DE PASTO LA ADQUISICIÓN MEDIANTE LA MODALIDAD DE COMPRAVENTA DE TAPABOCAS Y GUANTES PARA LOS SERVIDORES JUDICIALES, ADMINISTRATIVOS Y USUARIOS DE LOS DISTRITOS JUDICIALES DE PASTO Y MOCOA"/>
    <d v="2020-09-25T00:00:00"/>
    <d v="2020-09-25T00:00:00"/>
    <n v="11758794"/>
    <n v="0"/>
    <s v="EUROCOSSET"/>
    <n v="811032857"/>
    <s v="GUANTES DE NITRILO"/>
    <n v="300"/>
    <s v="CAJA X 100"/>
    <n v="39195.980000000003"/>
    <n v="0"/>
    <n v="11758794.000000002"/>
    <x v="10"/>
  </r>
  <r>
    <x v="13"/>
    <s v="OC 55763 "/>
    <s v="CONTRATAR EN NOMBRE DE LA  NACIÓN, CONSEJO SUPERIOR DE JUDICATURA, DIRECCIÓN EJECUTIVA SECCIONAL DE ADMINISTRACIÓN JUDICIAL DE PASTO LA ADQUISICIÓN MEDIANTE LA MODALIDAD DE COMPRAVENTA DE TAPABOCAS Y GUANTES PARA LOS SERVIDORES JUDICIALES, ADMINISTRATIVOS Y USUARIOS DE LOS DISTRITOS JUDICIALES DE PASTO Y MOCOA"/>
    <d v="2020-09-25T00:00:00"/>
    <d v="2020-09-25T00:00:00"/>
    <m/>
    <n v="5628140"/>
    <s v="EUROCOSSET"/>
    <n v="811032857"/>
    <s v="GUANTES DE NITRILO"/>
    <n v="150"/>
    <s v="CAJA X 100"/>
    <n v="39195.980000000003"/>
    <n v="0"/>
    <n v="5879397.0000000009"/>
    <x v="10"/>
  </r>
  <r>
    <x v="13"/>
    <s v="OC 55765"/>
    <s v="CONTRATAR EN NOMBRE DE LA NACIÓN, CONSEJO SUPERIOR DE JUDICATURA, DIRECCIÓN EJECUTIVA SECCIONAL DE ADMINISTRACIÓN JUDICIAL DE PASTO LA ADQUISICIÓN MEDIANTE LA MODALIDAD DE COMPRAVENTA DE TAPABOCAS Y GUANTES PARA LOS SERVIDORES JUDICIALES, ADMINISTRATIVOS Y USUARIOS DE LOS DISTRITOS JUDICIALES DE PASTO Y MOCOA"/>
    <d v="2020-09-25T00:00:00"/>
    <d v="2020-09-25T00:00:00"/>
    <n v="8802010.4600000009"/>
    <n v="0"/>
    <s v="AESTHETICS &amp; MEDICAL SOLUTIONS S.A.S"/>
    <n v="900567130"/>
    <s v="GUANTES DE LATEX"/>
    <n v="302"/>
    <s v="CAJA X 100"/>
    <n v="29145.73"/>
    <n v="0"/>
    <n v="8802010.459999999"/>
    <x v="24"/>
  </r>
  <r>
    <x v="13"/>
    <s v="OC 57765"/>
    <s v="CONTRATAR EN NOMBRE DE LA NACIÓN, CONSEJO SUPERIOR DE JUDICATURA, DIRECCIÓN EJECUTIVA SECCIONAL DE ADMINISTRACIÓN JUDICIAL DE PASTO LA ADQUISICIÓN MEDIANTE LA MODALIDAD DE COMPRAVENTA DE TERMÓMETROS INFRARROJO CON DESTINO A TODAS LAS SEDES JUDICIALES DE LOS DISTRITOS JUDICIALES DE PASTO Y MOCOA"/>
    <d v="2020-11-04T00:00:00"/>
    <d v="2020-11-04T00:00:00"/>
    <n v="4271356"/>
    <n v="0"/>
    <s v="TEKMEDICA S.A.S"/>
    <n v="900932726"/>
    <s v="TERMÓMETRO INFRAROJO "/>
    <n v="125"/>
    <s v="UNIDAD"/>
    <n v="34170.85"/>
    <n v="0"/>
    <n v="4271356.25"/>
    <x v="22"/>
  </r>
  <r>
    <x v="13"/>
    <s v="OC 60209"/>
    <s v="CONTRATAR EN NOMBRE DE LA NACIÓN, CONSEJO SUPERIOR DE JUDICATURA, DIRECCIÓN EJECUTIVA SECCIONAL DE ADMINISTRACIÓN JUDICIAL DE PASTO LA ADQUISICIÓN MEDIANTE LA MODALIDAD DE  OMPRAVENTA DE TAPABOCAS Y GUANTES PARA LOS SERVIDORES JUDICIALES, ADMINISTRATIVOS Y USUARIOS DE LOS DISTRITOS JUDICIALES DE PASTO Y MOCOA"/>
    <d v="2020-12-01T00:00:00"/>
    <d v="2020-12-01T00:00:00"/>
    <n v="17491460"/>
    <n v="0"/>
    <s v="MEMCO SAS"/>
    <n v="900454322"/>
    <s v="TAPABOCAS DESECHABLES"/>
    <n v="1832"/>
    <s v="UNIDAD"/>
    <n v="9547.74"/>
    <n v="0"/>
    <n v="17491459.68"/>
    <x v="3"/>
  </r>
  <r>
    <x v="13"/>
    <s v="OC 60823"/>
    <s v="CONTRATAR EN NOMBRE DE LA NACIÓN, CONSEJO SUPERIOR DE JUDICATURA, DIRECCIÓN EJECUTIVA SECCIONAL DE ADMINISTRACIÓN JUDICIAL DE PASTO LA ADQUISICIÓN MEDIANTE LA MODALIDAD DE COMPRAVENTA DE PRODUCTOS DE ASEO PARA APLICACIÓN DE MEDIDAS PARA PREVENIR CONTAGIO DEL VIRUS COVID19, CON DESTINO A LAS SEDES JUDICIALES DE LOS DISTRITOS DE PASTO Y MOCOA"/>
    <d v="2020-12-04T00:00:00"/>
    <d v="2020-12-04T00:00:00"/>
    <n v="23063405"/>
    <n v="0"/>
    <s v="SUMIMAS S.A.S"/>
    <n v="830001338"/>
    <s v="JABÓN DISPENSADOR PARA MANOS 2 - LÍQUIDO, EN RECIPIENTE PLÁSTICO CON CAPACIDAD MÍNIMA DE 3.785 CC"/>
    <n v="6225"/>
    <s v="LITRO"/>
    <n v="1540.7706666666668"/>
    <n v="0"/>
    <n v="9591297.4000000004"/>
    <x v="5"/>
  </r>
  <r>
    <x v="13"/>
    <s v="OC 60823"/>
    <s v="CONTRATAR EN NOMBRE DE LA NACIÓN, CONSEJO SUPERIOR DE JUDICATURA, DIRECCIÓN EJECUTIVA SECCIONAL DE ADMINISTRACIÓN JUDICIAL DE PASTO LA ADQUISICIÓN MEDIANTE LA MODALIDAD DE COMPRAVENTA DE PRODUCTOS DE ASEO PARA APLICACIÓN DE MEDIDAS PARA PREVENIR CONTAGIO DEL VIRUS COVID19, CON DESTINO A LAS SEDES JUDICIALES DE LOS DISTRITOS DE PASTO Y MOCOA"/>
    <d v="2020-12-04T00:00:00"/>
    <d v="2020-12-04T00:00:00"/>
    <n v="23063405"/>
    <n v="0"/>
    <s v="SUMIMAS S.A.S"/>
    <n v="830001338"/>
    <s v="GEL ANTIBACTERIAL - GALON"/>
    <n v="3000"/>
    <s v="LITRO"/>
    <n v="3232.1600000000003"/>
    <n v="0"/>
    <n v="9696480"/>
    <x v="4"/>
  </r>
  <r>
    <x v="13"/>
    <s v="OC 60823"/>
    <s v="CONTRATAR EN NOMBRE DE LA NACIÓN, CONSEJO SUPERIOR DE JUDICATURA, DIRECCIÓN EJECUTIVA SECCIONAL DE ADMINISTRACIÓN JUDICIAL DE PASTO LA ADQUISICIÓN MEDIANTE LA MODALIDAD DE COMPRAVENTA DE PRODUCTOS DE ASEO PARA APLICACIÓN DE MEDIDAS PARA PREVENIR CONTAGIO DEL VIRUS COVID19, CON DESTINO A LAS SEDES JUDICIALES DE LOS DISTRITOS DE PASTO Y MOCOA"/>
    <d v="2020-12-04T00:00:00"/>
    <d v="2020-12-04T00:00:00"/>
    <n v="23063405"/>
    <n v="0"/>
    <s v="SUMIMAS S.A.S"/>
    <n v="830001338"/>
    <s v="GEL ANTIBACTERIAL - FC X1LT"/>
    <n v="650"/>
    <s v="LITRO"/>
    <n v="4169.8500000000004"/>
    <n v="0"/>
    <n v="2710402.5000000005"/>
    <x v="4"/>
  </r>
  <r>
    <x v="13"/>
    <s v="OC 60823"/>
    <s v="CONTRATAR EN NOMBRE DE LA NACIÓN, CONSEJO SUPERIOR DE JUDICATURA, DIRECCIÓN EJECUTIVA SECCIONAL DE ADMINISTRACIÓN JUDICIAL DE PASTO LA ADQUISICIÓN MEDIANTE LA MODALIDAD DE COMPRAVENTA DE PRODUCTOS DE ASEO PARA APLICACIÓN DE MEDIDAS PARA PREVENIR CONTAGIO DEL VIRUS COVID19, CON DESTINO A LAS SEDES JUDICIALES DE LOS DISTRITOS DE PASTO Y MOCOA"/>
    <d v="2020-12-04T00:00:00"/>
    <d v="2020-12-04T00:00:00"/>
    <n v="23063405"/>
    <n v="0"/>
    <s v="SUMIMAS S.A.S"/>
    <n v="830001338"/>
    <s v="ALCOHOL - FRASCO"/>
    <n v="300"/>
    <s v="LITRO"/>
    <n v="3550.75"/>
    <n v="0"/>
    <n v="1065225"/>
    <x v="26"/>
  </r>
  <r>
    <x v="13"/>
    <s v="OC 60824"/>
    <s v="CONTRATAR EN NOMBRE DE LA NACIÓN, CONSEJO SUPERIOR DE JUDICATURA, DIRECCIÓN EJECUTIVA SECCIONAL DE ADMINISTRACIÓN JUDICIAL DE PASTO LA ADQUISICIÓN MEDIANTE LA MODALIDAD DE COMPRAVENTA DE PRODUCTOS DE ASEO PARA APLICACIÓN DE MEDIDAS PARA PREVENIR CONTAGIO DEL VIRUS COVID19, CON DESTINO A LAS SEDES JUDICIALES DE LOS  DISTRITOS DE PASTO Y MOCOA "/>
    <d v="2020-12-04T00:00:00"/>
    <d v="2020-12-04T00:00:00"/>
    <n v="6075114"/>
    <n v="0"/>
    <s v="SOLOASEO CAFETERIA DISTRIBUCIONES"/>
    <n v="19254921"/>
    <s v="JABÓN DISPENSADOR PARA MANOS 1 - LÍQUIDO, EN RECIPIENTE PLÁSTICO CON DISPENSADOR Y CAPACIDAD MÍNIMA DE 500 ML"/>
    <n v="150"/>
    <s v="LITRO"/>
    <n v="3989.94"/>
    <n v="0"/>
    <n v="598491"/>
    <x v="5"/>
  </r>
  <r>
    <x v="13"/>
    <s v="OC 60824"/>
    <s v="CONTRATAR EN NOMBRE DE LA NACIÓN, CONSEJO SUPERIOR DE JUDICATURA, DIRECCIÓN EJECUTIVA SECCIONAL DE ADMINISTRACIÓN JUDICIAL DE PASTO LA ADQUISICIÓN MEDIANTE LA MODALIDAD DE COMPRAVENTA DE PRODUCTOS DE ASEO PARA APLICACIÓN DE MEDIDAS PARA PREVENIR CONTAGIO DEL VIRUS COVID19, CON DESTINO A LAS SEDES JUDICIALES DE LOS  DISTRITOS DE PASTO Y MOCOA "/>
    <d v="2020-12-04T00:00:00"/>
    <d v="2020-12-04T00:00:00"/>
    <n v="6075114"/>
    <n v="0"/>
    <s v="SOLOASEO CAFETERIA DISTRIBUCIONES"/>
    <n v="19254921"/>
    <s v="TOALLAS PARA MANOS 3"/>
    <n v="1800"/>
    <s v="PAQUETE"/>
    <n v="2556.7800000000002"/>
    <n v="485.78820000000002"/>
    <n v="5476622.7600000007"/>
    <x v="8"/>
  </r>
  <r>
    <x v="13"/>
    <s v="OC 60825"/>
    <s v="CONTRATAR EN NOMBRE DE LA NACIÓN, CONSEJO SUPERIOR DE JUDICATURA, DIRECCIÓN EJECUTIVA SECCIONAL DE ADMINISTRACIÓN JUDICIAL DE PASTO LA ADQUISICIÓN MEDIANTE LA MODALIDAD DE COMPRAVENTA DE PRODUCTOS DE ASEO PARA APLICACIÓN DE MEDIDAS PARA PREVENIR CONTAGIO DEL VIRUS COVID19, CON DESTINO A LAS SEDES JUDICIALES DE LOS DISTRITOS DE PASTO Y MOCOA"/>
    <d v="2020-12-04T00:00:00"/>
    <d v="2020-12-04T00:00:00"/>
    <n v="7778892"/>
    <n v="0"/>
    <s v="MARCELA ALEXANDRA MESA"/>
    <n v="52223268"/>
    <s v="ALCOHOL GALÓN X 3.750 ML - GALON"/>
    <n v="2250"/>
    <s v="LITRO"/>
    <n v="3457.2853333333333"/>
    <n v="0"/>
    <n v="7778892"/>
    <x v="26"/>
  </r>
  <r>
    <x v="13"/>
    <s v="OC 60826"/>
    <s v="CONTRATAR EN NOMBRE DE LA NACIÓN, CONSEJO SUPERIOR DE JUDICATURA, DIRECCIÓN EJECUTIVA SECCIONAL DE ADMINISTRACIÓN JUDICIAL DE PASTO LA ADQUISICIÓN MEDIANTE LA MODALIDAD DE COMPRAVENTA DE PRODUCTOS DE ASEO PARA APLICACIÓN DE MEDIDAS PARA PREVENIR CONTAGIO DEL VIRUS COVID19, CON DESTINO A LAS SEDES JUDICIALES DE LOS DISTRITOS DE PASTO Y MOCOA"/>
    <d v="2020-12-04T00:00:00"/>
    <d v="2020-12-04T00:00:00"/>
    <n v="17628481"/>
    <n v="0"/>
    <s v="INDUHOTEL SAS"/>
    <n v="900300970"/>
    <s v="DISPENSADOR TOALLA DE MANOS"/>
    <n v="220"/>
    <s v="UNIDAD"/>
    <n v="67335.679999999993"/>
    <n v="12793.779199999999"/>
    <n v="17628481.024"/>
    <x v="12"/>
  </r>
  <r>
    <x v="13"/>
    <s v="OC 61209"/>
    <s v="CONTRATAR EN NOMBRE DE LA NACIÓN, CONSEJO SUPERIOR DE JUDICATURA, DIRECCIÓN EJECUTIVA SECCIONAL DE ADMINISTRACIÓN JUDICIAL DE PASTO LA ADQUISICIÓN MEDIANTE LA MODALIDAD DE COMPRAVENTA DE TAPABOCAS Y GUANTES PARA LOS SERVIDORES JUDICIALES, ADMINISTRATIVOS Y USUARIOS DE LOS DISTRITOS JUDICIALES DE PASTO Y MOCOA"/>
    <d v="2020-12-09T00:00:00"/>
    <d v="2020-12-09T00:00:00"/>
    <n v="5326633"/>
    <n v="0"/>
    <s v="BON SANTE SAS"/>
    <n v="901211678"/>
    <s v="GUANTES DE NITRILO"/>
    <n v="100"/>
    <s v="CAJA X 100"/>
    <n v="53266.33"/>
    <n v="0"/>
    <n v="5326633"/>
    <x v="10"/>
  </r>
  <r>
    <x v="13"/>
    <s v="OC 61209"/>
    <s v="CONTRATAR EN NOMBRE DE LA NACIÓN, CONSEJO SUPERIOR DE JUDICATURA, DIRECCIÓN EJECUTIVA SECCIONAL DE ADMINISTRACIÓN JUDICIAL DE PASTO LA ADQUISICIÓN MEDIANTE LA MODALIDAD DE COMPRAVENTA DE TAPABOCAS Y GUANTES PARA LOS SERVIDORES JUDICIALES, ADMINISTRATIVOS Y USUARIOS DE LOS DISTRITOS JUDICIALES DE PASTO Y MOCOA"/>
    <d v="2020-12-09T00:00:00"/>
    <d v="2020-12-09T00:00:00"/>
    <m/>
    <n v="2610050.17"/>
    <s v="BON SANTE SAS"/>
    <n v="901211678"/>
    <s v="GUANTES DE NITRILO"/>
    <n v="49"/>
    <s v="CAJA X 100"/>
    <n v="53266.33"/>
    <n v="0"/>
    <n v="2610050.17"/>
    <x v="10"/>
  </r>
  <r>
    <x v="13"/>
    <s v="OC 61211"/>
    <s v="CONTRATAR EN NOMBRE DE LA NACIÓN, CONSEJO SUPERIOR DE JUDICATURA, DIRECCIÓN EJECUTIVA SECCIONAL DE ADMINISTRACIÓN JUDICIAL DE PASTO LA ADQUISICIÓN MEDIANTE LA MODALIDAD DE COMPRAVENTA DE TAPABOCAS Y GUANTES PARA LOS SERVIDORES JUDICIALES, ADMINISTRATIVOS Y USUARIOS DE LOS DISTRITOS JUDICIALES DE PASTO Y MOCOA"/>
    <d v="2020-12-09T00:00:00"/>
    <d v="2020-12-09T00:00:00"/>
    <n v="15015075"/>
    <n v="0"/>
    <s v="SERSUGEN SAS"/>
    <n v="900201322"/>
    <s v="GUANTES DE NITRILO"/>
    <n v="300"/>
    <s v="CAJA X 100"/>
    <n v="50050.25"/>
    <n v="0"/>
    <n v="15015075"/>
    <x v="10"/>
  </r>
  <r>
    <x v="13"/>
    <s v="OC  61462"/>
    <s v="CONTRATAR EN NOMBRE DE LA NACIÓN, CONSEJO SUPERIOR DE JUDICATURA, DIRECCIÓN EJECUTIVA SECCIONAL DE ADMINISTRACIÓN JUDICIAL DE PASTO LA ADQUISICIÓN MEDIANTE LA MODALIDAD DE COMPRAVENTA DE PRODUCTOS DE ASEO PARA APLICACIÓN DE MEDIDAS PARA PREVENIR CONTAGIO DEL VIRUS COVID19, CON DESTINO A LAS SEDES JUDICIALES DE LOS DISTRITOS DE PASTO Y MOCOA"/>
    <d v="2020-12-11T00:00:00"/>
    <d v="2020-12-11T00:00:00"/>
    <n v="43988134"/>
    <n v="0"/>
    <s v="JM GRUPO EMPRESARIAL S.A.S"/>
    <n v="900353659"/>
    <s v="BASES PARA DISPENSADORES DE GEL DESINFECTANTE Y JABÓN LÍQUIDO PARA MANOS"/>
    <n v="300"/>
    <s v="UNIDAD"/>
    <n v="40201.01"/>
    <n v="7638.1919000000007"/>
    <n v="14351760.57"/>
    <x v="12"/>
  </r>
  <r>
    <x v="13"/>
    <s v="OC  61462"/>
    <s v="CONTRATAR EN NOMBRE DE LA NACIÓN, CONSEJO SUPERIOR DE JUDICATURA, DIRECCIÓN EJECUTIVA SECCIONAL DE ADMINISTRACIÓN JUDICIAL DE PASTO LA ADQUISICIÓN MEDIANTE LA MODALIDAD DE COMPRAVENTA DE PRODUCTOS DE ASEO PARA APLICACIÓN DE MEDIDAS PARA PREVENIR CONTAGIO DEL VIRUS COVID19, CON DESTINO A LAS SEDES JUDICIALES DE LOS DISTRITOS DE PASTO Y MOCOA"/>
    <d v="2020-12-11T00:00:00"/>
    <d v="2020-12-11T00:00:00"/>
    <n v="43988134"/>
    <n v="0"/>
    <s v="JM GRUPO EMPRESARIAL S.A.S"/>
    <n v="900353659"/>
    <s v="TOALLAS PARA MANOS 2"/>
    <n v="2800"/>
    <s v="ROLLO"/>
    <n v="8894.4699999999993"/>
    <n v="1689.9493"/>
    <n v="29636374.039999999"/>
    <x v="8"/>
  </r>
  <r>
    <x v="13"/>
    <s v="OC 61463"/>
    <s v="CONTRATAR EN NOMBRE DE LA NACIÓN, CONSEJO SUPERIOR DE JUDICATURA, DIRECCIÓN EJECUTIVA SECCIONAL DE ADMINISTRACIÓN JUDICIAL DE PASTO LA ADQUISICIÓN MEDIANTE LA MODALIDAD DE COMPRAVENTA DE PRODUCTOS DE ASEO PARA APLICACIÓN DE MEDIDAS PARA PREVENIR CONTAGIO DEL VIRUS COVID19, CON DESTINO A LAS SEDES JUDICIALES DE LOS DISTRITOS DE PASTO Y MOCOA"/>
    <d v="2020-12-11T00:00:00"/>
    <d v="2020-12-11T00:00:00"/>
    <n v="24108482"/>
    <n v="0"/>
    <s v="INDUSTRIAS QUIMICAS Y MANTENIMIENTO QUIMANT S.A.S."/>
    <n v="830108770"/>
    <s v="ALCOHOL GALÓN X 3.750 ML - GALON"/>
    <n v="3667.5"/>
    <s v="LITRO"/>
    <n v="3422.4453333333336"/>
    <n v="0"/>
    <n v="12551818.260000002"/>
    <x v="26"/>
  </r>
  <r>
    <x v="13"/>
    <s v="OC 61463"/>
    <s v="CONTRATAR EN NOMBRE DE LA NACIÓN, CONSEJO SUPERIOR DE JUDICATURA, DIRECCIÓN EJECUTIVA SECCIONAL DE ADMINISTRACIÓN JUDICIAL DE PASTO LA ADQUISICIÓN MEDIANTE LA MODALIDAD DE COMPRAVENTA DE PRODUCTOS DE ASEO PARA APLICACIÓN DE MEDIDAS PARA PREVENIR CONTAGIO DEL VIRUS COVID19, CON DESTINO A LAS SEDES JUDICIALES DE LOS DISTRITOS DE PASTO Y MOCOA"/>
    <d v="2020-12-11T00:00:00"/>
    <d v="2020-12-11T00:00:00"/>
    <n v="24108482"/>
    <n v="0"/>
    <s v="INDUSTRIAS QUIMICAS Y MANTENIMIENTO QUIMANT S.A.S."/>
    <n v="830108770"/>
    <s v="GEL ANTIBACTERIAL - GALON"/>
    <n v="3390"/>
    <s v="LITRO"/>
    <n v="3409.0480000000002"/>
    <n v="0"/>
    <n v="11556672.720000001"/>
    <x v="4"/>
  </r>
  <r>
    <x v="13"/>
    <s v="OC 61824"/>
    <s v="CONTRATAR EN NOMBRE DE LA NACIÓN, CONSEJO SUPERIOR DE JUDICATURA, DIRECCIÓN EJECUTIVA SECCIONAL DE ADMINISTRACIÓN JUDICIAL DE PASTO LA  ADQUISICIÓN MEDIANTE LA MODALIDAD DE COMPRAVENTA DE TAPABOCAS Y GUANTES PARA LOS SERVIDORES JUDICIALES, ADMINISTRATIVOS Y USUARIOS DE LOS DISTRITOS JUDICIALES DE PASTO Y MOCOA"/>
    <d v="2020-12-15T00:00:00"/>
    <d v="2020-12-15T00:00:00"/>
    <n v="43417089"/>
    <n v="0"/>
    <s v="SUQUIN SAS"/>
    <n v="804002957"/>
    <s v="GUANTES DE NITRILO"/>
    <n v="900"/>
    <s v="CAJA X 100"/>
    <n v="48241.21"/>
    <n v="0"/>
    <n v="43417089"/>
    <x v="10"/>
  </r>
  <r>
    <x v="14"/>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TAPABOCAS DESECHABLE"/>
    <n v="15000"/>
    <s v="UNIDAD"/>
    <n v="1600"/>
    <n v="0"/>
    <n v="24000000"/>
    <x v="3"/>
  </r>
  <r>
    <x v="14"/>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TAPABOCAS RESPIRADOR N95"/>
    <n v="200"/>
    <s v="UNIDAD"/>
    <n v="18000"/>
    <n v="0"/>
    <n v="3600000"/>
    <x v="3"/>
  </r>
  <r>
    <x v="14"/>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GUANTES DE NITRILO CAJA X 100"/>
    <n v="150"/>
    <s v="CAJA X 100"/>
    <n v="35000"/>
    <n v="0"/>
    <n v="5250000"/>
    <x v="10"/>
  </r>
  <r>
    <x v="14"/>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JABÓN DE MANOS"/>
    <n v="1000"/>
    <s v="LITRO"/>
    <n v="8000"/>
    <n v="0"/>
    <n v="8000000"/>
    <x v="5"/>
  </r>
  <r>
    <x v="14"/>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GEL ANTIBACTERIAL PARA MANOS"/>
    <n v="456"/>
    <s v="LITRO"/>
    <n v="26315.789473600002"/>
    <n v="0"/>
    <n v="11999999.999961602"/>
    <x v="4"/>
  </r>
  <r>
    <x v="14"/>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TOALLAS PARA MANOS DESECHABLES PAQUETE X 50"/>
    <n v="800"/>
    <s v="PAQUETE"/>
    <n v="13000"/>
    <n v="0"/>
    <n v="10400000"/>
    <x v="8"/>
  </r>
  <r>
    <x v="14"/>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DISPENSADOR DE TOALLAS DE MANOS CAPACIDAD DE 150 TOALLAS"/>
    <n v="37"/>
    <s v="UNIDAD"/>
    <n v="157563"/>
    <n v="29936.97"/>
    <n v="6937498.8899999997"/>
    <x v="12"/>
  </r>
  <r>
    <x v="14"/>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DISPENSADOR DE JABÓN LIQUIDO ACERO INOXIDABLE"/>
    <n v="50"/>
    <s v="UNIDAD"/>
    <n v="87500"/>
    <n v="16625"/>
    <n v="5206250"/>
    <x v="12"/>
  </r>
  <r>
    <x v="14"/>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ELEMENTO DE BIOSEGURIDAD TRAJE DE PROTECCIÓN PERSONAL"/>
    <n v="100"/>
    <s v="UNIDAD"/>
    <n v="21000"/>
    <n v="3990"/>
    <n v="2499000"/>
    <x v="0"/>
  </r>
  <r>
    <x v="14"/>
    <s v="CD-UM-01-2020"/>
    <s v="CONTRATAR EN NOMBRE DE LA NACIÓN – CONSEJO SUPERIOR DE LA JUDICATURA LA ADQUISICIÓN DE ELEMENTOS DE BIOSEGURIDAD, PARA LOS SERVIDORES JUDICIALES DEL DISTRITO JUDICIAL DE PEREIRA"/>
    <d v="2020-03-25T00:00:00"/>
    <d v="2020-03-26T00:00:00"/>
    <n v="79231499"/>
    <n v="0"/>
    <s v="C.I. WARRIORS COMPANY SAS"/>
    <n v="900916649"/>
    <s v="ELEMENTO DE BIOSEGURIDAD GUANTE NITILSAFE VERDE 13&quot; 15MIL T 7"/>
    <n v="100"/>
    <s v="PAR"/>
    <n v="11250"/>
    <n v="2137.5"/>
    <n v="1338750"/>
    <x v="1"/>
  </r>
  <r>
    <x v="14"/>
    <s v="CD-UM-02-2020"/>
    <s v="CONTRATAR EN NOMBRE DE LA NACIÓN – CONSEJO SUPERIOR DE LA JUDICATURA LA ADQUISICIÓN DE ACCESORIOS TECNOLÓGICOS DE APOYO, PARA LA REALIZACIÓN DE AUDIENCIAS VIRTUALES, MEDIDAS DE PREVENCIÓN Y AISLAMIENTO SOCIAL, PARA PREVENIR EL CONTAGIO DEL VIRUS COVID19 EN EL DISTRITO JUDICIAL DE PEREIRA."/>
    <d v="2020-03-25T00:00:00"/>
    <d v="2020-03-31T00:00:00"/>
    <n v="55131040"/>
    <n v="0"/>
    <s v="LA COMPUTIENDA SAS"/>
    <n v="900885138"/>
    <s v="CÁMARA WEB"/>
    <n v="235"/>
    <s v="UNIDAD"/>
    <n v="171600"/>
    <n v="0"/>
    <n v="40326000"/>
    <x v="18"/>
  </r>
  <r>
    <x v="14"/>
    <s v="CD-UM-02-2020"/>
    <s v="CONTRATAR EN NOMBRE DE LA NACIÓN – CONSEJO SUPERIOR DE LA JUDICATURA LA ADQUISICIÓN DE ACCESORIOS TECNOLÓGICOS DE APOYO, PARA LA REALIZACIÓN DE AUDIENCIAS VIRTUALES, MEDIDAS DE PREVENCIÓN Y AISLAMIENTO SOCIAL, PARA PREVENIR EL CONTAGIO DEL VIRUS COVID19 EN EL DISTRITO JUDICIAL DE PEREIRA."/>
    <d v="2020-03-25T00:00:00"/>
    <d v="2020-03-31T00:00:00"/>
    <n v="55131040"/>
    <n v="0"/>
    <s v="LA COMPUTIENDA SAS"/>
    <n v="900885138"/>
    <s v="DIADEMA"/>
    <n v="235"/>
    <s v="UNIDAD"/>
    <n v="52941.176470588238"/>
    <n v="10058.823529411766"/>
    <n v="14805000"/>
    <x v="19"/>
  </r>
  <r>
    <x v="14"/>
    <n v="49486"/>
    <s v="GS1- DISPENSADOR DE GEL MANO LIBRE"/>
    <d v="2020-05-29T00:00:00"/>
    <d v="2020-05-29T00:00:00"/>
    <n v="10586100"/>
    <n v="0"/>
    <s v="COLOMBIANA DE COMERCIO S.A Y/O ALKOSTO S.A"/>
    <n v="890900943"/>
    <s v="DISPENSADOR DE GEL MANO LIBRE"/>
    <n v="42"/>
    <s v="UNIDAD"/>
    <n v="252050"/>
    <n v="0"/>
    <n v="10586100"/>
    <x v="12"/>
  </r>
  <r>
    <x v="14"/>
    <n v="48389"/>
    <s v=" ADQUISICIÓN DE TERMÓMETROS DIGITALES INFRA-ROJOS, PARA PREVENCIÓN DEL CONTAGIO DEL COVID-19 EN LOS SERVIDORES JUDICIALES, CONTRATISTAS DE PRESTACIÓN DE SERVICIOS Y JUDICANTES; EN LAS SEDE JUDICIALES DEL DISTRITO JUDICIAL DE PEREIRA"/>
    <d v="2020-05-29T00:00:00"/>
    <d v="2020-05-13T00:00:00"/>
    <n v="15000000"/>
    <n v="0"/>
    <s v="PANAMERICANA LIBRERÍA Y_x000a_PAPELERÍA S.A.S"/>
    <n v="830037946"/>
    <s v="EB-98 - TERMÓMETRO INFRAROJO (UNID)"/>
    <n v="25"/>
    <s v="UNIDAD"/>
    <n v="600000"/>
    <n v="0"/>
    <n v="15000000"/>
    <x v="22"/>
  </r>
  <r>
    <x v="14"/>
    <n v="48389"/>
    <s v=" ADQUISICIÓN DE TERMÓMETROS DIGITALES INFRA-ROJOS, PARA PREVENCIÓN DEL CONTAGIO DEL COVID-19 EN LOS SERVIDORES JUDICIALES, CONTRATISTAS DE PRESTACIÓN DE SERVICIOS Y JUDICANTES; EN LAS SEDE JUDICIALES DEL DISTRITO JUDICIAL DE PEREIRA"/>
    <d v="2020-05-29T00:00:00"/>
    <d v="2020-05-13T00:00:00"/>
    <n v="824075"/>
    <n v="0"/>
    <s v="PANAMERICANA LIBRERÍA Y_x000a_PAPELERÍA S.A.S"/>
    <n v="830037946"/>
    <s v="PILA RECARGABLE 9 VOL."/>
    <n v="25"/>
    <s v="UNIDAD"/>
    <n v="32963"/>
    <n v="0"/>
    <n v="824075"/>
    <x v="36"/>
  </r>
  <r>
    <x v="14"/>
    <n v="49492"/>
    <s v=" ADQUISICIÓN DE JABÓN LÍQUIDO PARA MANOS ANTIBACTERIAL Y GEL PARA MANOS ANTISÉPTICO, MEDIDAS COMPLEMENTARIAS, PARA PREVENCIÓN DEL CONTAGIO DEL COVID-19 EN LOS SERVIDORES JUDICIALES DEL DISTRITO JUDICIAL DE PEREIRA"/>
    <d v="2020-05-29T00:00:00"/>
    <d v="2020-05-29T00:00:00"/>
    <n v="4448000"/>
    <n v="0"/>
    <s v="PANAMERICANA LIBRERÍA Y_x000a_PAPELERÍA S.A.S"/>
    <n v="830037946"/>
    <s v="JABON LIQUIDO P/MANOS ANTIBAC.X20L ORION"/>
    <n v="1600"/>
    <s v="LITRO"/>
    <n v="2780"/>
    <n v="0"/>
    <n v="4448000"/>
    <x v="5"/>
  </r>
  <r>
    <x v="14"/>
    <n v="49492"/>
    <s v=" ADQUISICIÓN DE JABÓN LÍQUIDO PARA MANOS ANTIBACTERIAL Y GEL PARA MANOS ANTISÉPTICO, MEDIDAS COMPLEMENTARIAS, PARA PREVENCIÓN DEL CONTAGIO DEL COVID-19 EN LOS SERVIDORES JUDICIALES DEL DISTRITO JUDICIAL DE PEREIRA"/>
    <d v="2020-05-29T00:00:00"/>
    <d v="2020-05-29T00:00:00"/>
    <n v="19920000"/>
    <n v="0"/>
    <s v="PANAMERICANA LIBRERÍA Y_x000a_PAPELERÍA S.A.S"/>
    <n v="830037946"/>
    <s v="GEL PARA MANOS ANTISEPTICO X 3800 ML"/>
    <n v="1520"/>
    <s v="LITRO"/>
    <n v="13105.263157894737"/>
    <n v="0"/>
    <n v="19920000"/>
    <x v="4"/>
  </r>
  <r>
    <x v="14"/>
    <n v="49722"/>
    <s v="ADQUISICIÓN DE DISPENSADORES DE JABÓN LÍQUIDO DE PARED, TOALLA DESECHABLES PARA MANOS DE PAPEL Y ALCOHOL ANTISÉPTICO 70%; EN CUMPLIMIENTO DE CIRCULAR DEAJC20-35"/>
    <d v="2020-06-02T00:00:00"/>
    <d v="2020-06-02T00:00:00"/>
    <n v="23734890"/>
    <n v="0"/>
    <s v="PANAMERICANA LIBRERÍA Y_x000a_PAPELERÍA S.A.S"/>
    <n v="830037946"/>
    <s v="DISPENSADOR PARA JABON LIQUIDO_x000a_CAPACIDAD 800ML"/>
    <n v="90"/>
    <s v="UNIDAD"/>
    <n v="123641"/>
    <n v="0"/>
    <n v="11127690"/>
    <x v="12"/>
  </r>
  <r>
    <x v="14"/>
    <n v="49722"/>
    <s v="ADQUISICIÓN DE DISPENSADORES DE JABÓN LÍQUIDO DE PARED, TOALLA DESECHABLES PARA MANOS DE PAPEL Y ALCOHOL ANTISÉPTICO 70%; EN CUMPLIMIENTO DE CIRCULAR DEAJC20-35"/>
    <d v="2020-06-02T00:00:00"/>
    <d v="2020-06-02T00:00:00"/>
    <n v="23734890"/>
    <n v="0"/>
    <s v="PANAMERICANA LIBRERÍA Y_x000a_PAPELERÍA S.A.S"/>
    <n v="830037946"/>
    <s v="TOALLA P/MANOS BLANCO Z D/H FAJO_x000a_X150UN"/>
    <n v="1300"/>
    <s v="PAQUETE"/>
    <n v="6664"/>
    <n v="0"/>
    <n v="8663200"/>
    <x v="8"/>
  </r>
  <r>
    <x v="14"/>
    <n v="49722"/>
    <s v="ADQUISICIÓN DE DISPENSADORES DE JABÓN LÍQUIDO DE PARED, TOALLA DESECHABLES PARA MANOS DE PAPEL Y ALCOHOL ANTISÉPTICO 70%; EN CUMPLIMIENTO DE CIRCULAR DEAJC20-35"/>
    <d v="2020-06-02T00:00:00"/>
    <d v="2020-06-02T00:00:00"/>
    <n v="23734890"/>
    <n v="0"/>
    <s v="PANAMERICANA LIBRERÍA Y_x000a_PAPELERÍA S.A.S"/>
    <n v="830037946"/>
    <s v="ALCOHOL ANTISEPTICO ETILICO 70% X 500"/>
    <n v="340"/>
    <s v="LITRO"/>
    <n v="11600"/>
    <n v="0"/>
    <n v="3944000"/>
    <x v="26"/>
  </r>
  <r>
    <x v="14"/>
    <n v="50118"/>
    <s v=" ADQUISICIÓN DE TAPABOCAS, SEGÚN LA MATRIZ DE EPP; EN CUMPLIMIENTO DE CIRCULAR DEAJC20-35 “PROTOCOLO DE ACCESO A SEDES"/>
    <d v="2020-06-08T00:00:00"/>
    <d v="2020-06-08T00:00:00"/>
    <n v="43453800"/>
    <n v="0"/>
    <s v="MAKRO SUPERMAYORISTA S.A.S"/>
    <n v="900059238"/>
    <s v="BOLSA DE TAPABOCA QUIRURGUICO COSIDO DE 3CAPAS CON EMPAQUE INDIVIDUAL 50 UNIDADES - REGISTRO INVIMA"/>
    <n v="32500"/>
    <s v="UNIDAD"/>
    <n v="1337.04"/>
    <n v="0"/>
    <n v="43453800"/>
    <x v="3"/>
  </r>
  <r>
    <x v="14"/>
    <n v="50258"/>
    <s v=" ADQUISICIÓN DE GUANTES, SEGÚN LA MATRIZ DE EPP; EN CUMPLIMIENTO DE CIRCULAR DEAJC20-35"/>
    <d v="2020-06-10T00:00:00"/>
    <d v="2020-06-10T00:00:00"/>
    <n v="5790336"/>
    <n v="0"/>
    <s v="CENCOSUD COLOMBIA S.A."/>
    <n v="900155107"/>
    <s v="GUANTES DE NITRILO CAJA X 100"/>
    <n v="136"/>
    <s v="CAJA X 100"/>
    <n v="42576"/>
    <n v="0"/>
    <n v="5790336"/>
    <x v="10"/>
  </r>
  <r>
    <x v="14"/>
    <n v="50631"/>
    <s v=" ADQUISICIÓN DE PELÍCULA EXTENSIBLE PARA CUBRIR LOS MICRÓFONOS EN LAS SALAS DE AUDIENCIAS, EN CUMPLIMIENTO DE CIRCULAR DEAJC20-35 "/>
    <d v="2020-06-17T00:00:00"/>
    <d v="2020-06-17T00:00:00"/>
    <n v="585480"/>
    <n v="0"/>
    <s v="PANAMERICANA LIBRERÍA Y_x000a_PAPELERÍA S.A.S"/>
    <n v="830037946"/>
    <s v="PELICULA EXTENSIBLE TRANSP. 30 X 300MTS"/>
    <n v="30"/>
    <s v="ROLLO"/>
    <n v="19516"/>
    <n v="0"/>
    <n v="585480"/>
    <x v="7"/>
  </r>
  <r>
    <x v="14"/>
    <n v="51355"/>
    <s v=" ADQUISICIÓN DE CARETAS (PROTECTOR FACIAL), PARA LOS SERVIDORES JUDICIALES DEL DISTRITO JUDICIAL DE PEREIRA, QUE ATIENDEN PUBLICO POR EL INSTRUMENTO DE AGREGACIÓN DE DEMANDA EMERGENCIA COVID-19"/>
    <d v="2020-07-01T00:00:00"/>
    <d v="2020-07-01T00:00:00"/>
    <n v="1986500"/>
    <n v="0"/>
    <s v="ABBAPLAX SAS"/>
    <n v="860062147"/>
    <s v="CARETAS VISORES (PROTECTOR_x000a_FACIAL)"/>
    <n v="350"/>
    <s v="UNIDAD"/>
    <n v="4990"/>
    <n v="0"/>
    <n v="1746500"/>
    <x v="11"/>
  </r>
  <r>
    <x v="14"/>
    <n v="61519"/>
    <s v="74 UNIDAD OF ETC02--LOTE3-ETP ESCANER A4 VERTICAL MINIMO 9.000 PAGINAS MINIMO 70 PPM ZONA 2 74 UNIDAD OF ETC02--LOTE3-COMPONENTE MODULO DE RED PARA ÍTEMS 2 A 14 NA NA NA ZONA 2 74 UNIDAD OF ETC02--LOTE3-SERVICIO INSTALACION SOFTWARE Y CONFIGURACION DEL ETP ETP   ZONA 2 1 UNIDAD OF ETC02--IVA 20 UNIDAD OF ETC02--LOTE3-ETP ESCANER A4 VERTICAL MINIMO 9.000 PAGINAS MINIMO 70 PPM ZONA 2 20 UNIDAD OF ETC02--LOTE3-COMPONENTE MODULO DE RED PARA ÍTEMS 2 A 14 NA NA NA ZONA 2 20 UNIDAD OF ETC02--LOTE3-SERVICIO INSTALACION SOFTWARE Y CONFIGURACION DEL ETP ETP ZONA 2"/>
    <d v="2020-12-11T00:00:00"/>
    <d v="2020-12-11T00:00:00"/>
    <n v="179714276"/>
    <n v="0"/>
    <s v="GRUPO EMPRESARIAL CREAR DE COLOMBIA S.A.S."/>
    <n v="900564459"/>
    <s v="ESCANER A4 VERTICAL"/>
    <n v="94"/>
    <s v="UNIDAD"/>
    <n v="1606600"/>
    <n v="305254"/>
    <n v="179714276"/>
    <x v="17"/>
  </r>
  <r>
    <x v="14"/>
    <n v="61820"/>
    <s v="PULSOXÍMETRO"/>
    <d v="2020-12-15T00:00:00"/>
    <d v="2020-12-15T00:00:00"/>
    <n v="3200000"/>
    <n v="0"/>
    <s v="AESTHETICS &amp; MEDICAL SOLUTIONS SAS"/>
    <n v="900567130"/>
    <s v="COV01-EB-79 - PULSOXÍMETRO"/>
    <n v="20"/>
    <s v="UNIDAD"/>
    <n v="155000"/>
    <n v="0"/>
    <n v="3100000"/>
    <x v="49"/>
  </r>
  <r>
    <x v="14"/>
    <n v="61823"/>
    <s v="15 UNIDAD OF COV01-EB-98 - TERMÓMETRO INFRAROJO 1 UNIDAD OF COV01-DIS-1 - DISTRIBUCION"/>
    <d v="2020-12-15T00:00:00"/>
    <d v="2020-12-15T00:00:00"/>
    <n v="795000"/>
    <n v="0"/>
    <s v="AVANZA INTERNATIONAL GROUP"/>
    <n v="900505419"/>
    <s v="COV01-EB-98 - TERMÓMETRO INFRAROJO"/>
    <n v="15"/>
    <s v="UNIDAD"/>
    <n v="45000"/>
    <n v="0"/>
    <n v="675000"/>
    <x v="22"/>
  </r>
  <r>
    <x v="14"/>
    <n v="61827"/>
    <s v="19 UNIDAD OF COV01-EB-15 - CAMILLA PARA EXAMEN 20 UNIDAD OF COV01-EB-85 - SILLAS DE RUEDAS 1 UNIDAD OF COV01-DIS-1 - DISTRIBUCION"/>
    <d v="2020-12-15T00:00:00"/>
    <d v="2020-12-15T00:00:00"/>
    <n v="6080000"/>
    <n v="0"/>
    <s v="D&amp;D S.A.S"/>
    <n v="900225460"/>
    <s v="COV01-EB-15 - CAMILLA PARA EXAMEN"/>
    <n v="19"/>
    <s v="UNIDAD"/>
    <n v="320000"/>
    <n v="0"/>
    <n v="6080000"/>
    <x v="50"/>
  </r>
  <r>
    <x v="14"/>
    <n v="61827"/>
    <s v="19 UNIDAD OF COV01-EB-15 - CAMILLA PARA EXAMEN 20 UNIDAD OF COV01-EB-85 - SILLAS DE RUEDAS 1 UNIDAD OF COV01-DIS-1 - DISTRIBUCION"/>
    <d v="2020-12-15T00:00:00"/>
    <d v="2020-12-15T00:00:00"/>
    <n v="21820000"/>
    <n v="0"/>
    <s v="D&amp;D S.A.S"/>
    <n v="900225460"/>
    <s v="COV01-EB-85 - SILLAS DE RUEDAS"/>
    <n v="20"/>
    <s v="UNIDAD"/>
    <n v="1091000"/>
    <n v="0"/>
    <n v="21820000"/>
    <x v="51"/>
  </r>
  <r>
    <x v="14"/>
    <n v="61949"/>
    <s v="KIT PREVENCION CONTAGIO (QTAPABOCAS LAVABLE + 1 GAFASPROTECTORAS + 1 FC ALCOHOL 55 ML, + 1 PQTOALLITAS HUMEDAS"/>
    <d v="2020-12-16T00:00:00"/>
    <d v="2020-12-16T00:00:00"/>
    <n v="45000000"/>
    <n v="0"/>
    <s v="BON SANTE SAS"/>
    <n v="901211678"/>
    <s v="EPP-16 - KIT PREVENCION CONTAGIO (TAPABOCAS LAVABLE + 1 GAFAS PROTECTORAS + 1 FC ALCOHOL 55 ML, + 1 PQ TOALLITAS HUMEDAS (KITS)"/>
    <n v="3000"/>
    <s v="UNIDAD"/>
    <n v="15000"/>
    <n v="0"/>
    <n v="45000000"/>
    <x v="52"/>
  </r>
  <r>
    <x v="14"/>
    <n v="61951"/>
    <s v="500 UNIDAD OF COV01-EPP-31 - TAPABOCAS DOBLE TELA LAVABLE 400 UNIDAD OF COV01-EPP-17 - KIT PREVENCIÓN: CONTIENE TRAJE ANTIFLUIDO  BATA QUIRURGICA  PANTALON PIJAMA  CUBRE ZAPATOS GORRO Y TAPABOCAS  CUALQUIER PIEZA SE PUEDE HACER INDEPENDIENTE  SON RESISTENTES AL CLORO  1 UNIDAD OF COV01-DIS-1 - DISTRIBUCION"/>
    <d v="2020-12-16T00:00:00"/>
    <d v="2020-12-16T00:00:00"/>
    <n v="21500000"/>
    <n v="0"/>
    <s v="FUNDACION TEJIDO SOCIAL ORG"/>
    <n v="900442577"/>
    <s v="COV01-EPP-31 - TAPABOCAS DOBLE TELALAVABLE CAJA X 100"/>
    <n v="50000"/>
    <s v="UNIDAD"/>
    <n v="430"/>
    <n v="0"/>
    <n v="21500000"/>
    <x v="3"/>
  </r>
  <r>
    <x v="14"/>
    <n v="61951"/>
    <s v="500 UNIDAD OF COV01-EPP-31 - TAPABOCAS DOBLE TELA LAVABLE 400 UNIDAD OF COV01-EPP-17 - KIT PREVENCIÓN: CONTIENE TRAJE ANTIFLUIDO  BATA QUIRURGICA  PANTALON PIJAMA  CUBRE ZAPATOS GORRO Y TAPABOCAS  CUALQUIER PIEZA SE PUEDE HACER INDEPENDIENTE  SON RESISTENTES AL CLORO  1 UNIDAD OF COV01-DIS-1 - DISTRIBUCION"/>
    <d v="2020-12-16T00:00:00"/>
    <d v="2020-12-16T00:00:00"/>
    <n v="8000000"/>
    <n v="0"/>
    <s v="FUNDACION TEJIDO SOCIAL ORG"/>
    <n v="900442577"/>
    <s v="COV01-EPP-17 - KIT PREVENCIÓN: CONTIENETRAJE ANTIFLUIDO, BATA QUIRURGICA,PANTALON PIJAMA, CUBRE ZAPATOS GORRO YTAPABOCAS, CUALQUIER PIEZA SE PUEDEHACER INDEPENDIENTE, SON RESISTENTES ALCLORO"/>
    <n v="400"/>
    <s v="UNIDAD"/>
    <n v="20000"/>
    <n v="0"/>
    <n v="8000000"/>
    <x v="52"/>
  </r>
  <r>
    <x v="14"/>
    <n v="61972"/>
    <s v="30 UNIDAD OF COV01-PA-68 - TAPETE BIOCOMPONENTE - UNIDAD 1 UNIDAD OF COV01-DIS-1 - DISTRIBUCION 1 UNIDAD OF COV01-IVA"/>
    <d v="2020-12-16T00:00:00"/>
    <d v="2020-12-16T00:00:00"/>
    <n v="5455000"/>
    <n v="0"/>
    <s v="BIOANALYTICA SAS"/>
    <n v="901320101"/>
    <s v="COV01-PA-68 - TAPETE BIOCOMPONENTE -UNIDAD"/>
    <n v="30"/>
    <s v="UNIDAD"/>
    <n v="150000"/>
    <n v="28500"/>
    <n v="5355000"/>
    <x v="35"/>
  </r>
  <r>
    <x v="14"/>
    <n v="61976"/>
    <s v="50 UNIDAD OF COV01-PA-64 - DISPENSADOR TOALLA DE MANOS - UNIDAD 50 UNIDAD OF COV01-PA-66 - BASES PARA DISPENSADORES DE GEL DESINFECTANTE Y JABÓN LÍQUIDO PARA MANOS - UNIDAD 1 UNIDAD OF COV01-DIS-1 - DISTRIBUCION 1 UNIDAD OF COV01-IVA"/>
    <d v="2020-12-16T00:00:00"/>
    <d v="2020-12-16T00:00:00"/>
    <n v="3349950"/>
    <n v="0"/>
    <s v="INDUHOTEL SAS"/>
    <n v="900300970"/>
    <s v="COV01-PA-64 - DISPENSADOR TOALLA DEMANOS - UNIDAD"/>
    <n v="50"/>
    <s v="UNIDAD"/>
    <n v="66999"/>
    <n v="12729.81"/>
    <n v="3986440.5"/>
    <x v="12"/>
  </r>
  <r>
    <x v="14"/>
    <n v="61976"/>
    <s v="50 UNIDAD OF COV01-PA-64 - DISPENSADOR TOALLA DE MANOS - UNIDAD 50 UNIDAD OF COV01-PA-66 - BASES PARA DISPENSADORES DE GEL DESINFECTANTE Y JABÓN LÍQUIDO PARA MANOS - UNIDAD 1 UNIDAD OF COV01-DIS-1 - DISTRIBUCION 1 UNIDAD OF COV01-IVA"/>
    <d v="2020-12-16T00:00:00"/>
    <d v="2020-12-16T00:00:00"/>
    <n v="2042500"/>
    <n v="0"/>
    <s v="INDUHOTEL SAS"/>
    <n v="900300970"/>
    <s v="COV01-PA-66 - BASES PARA DISPENSADORESDE GEL DESINFECTANTE Y JABÓN LÍQUIDOPARA MANOS - UNIDAD"/>
    <n v="50"/>
    <s v="UNIDAD"/>
    <n v="40850"/>
    <n v="7761.5"/>
    <n v="2430575"/>
    <x v="12"/>
  </r>
  <r>
    <x v="14"/>
    <n v="61986"/>
    <s v="400 UNIDAD OF COV01-PA-4 - ALCOHOL ISOPROPILICO 70% EN GEL PARA ANTISEPSIA DE MANOS - FC X1LT 1 UNIDAD OF COV01-DIS-1 - DISTRIBUCION"/>
    <d v="2020-12-16T00:00:00"/>
    <d v="2020-12-16T00:00:00"/>
    <n v="2720000"/>
    <n v="0"/>
    <s v="INDUSTRIAS QUIMICAS Y MANTENIMIENTO QUIMANT S.A.S."/>
    <n v="830108770"/>
    <s v="COV01-PA-4 - ALCOHOL ISOPROPILICO 70% ENGEL PARA ANTISEPSIA DE MANOS - FC X1LT"/>
    <n v="400"/>
    <s v="LITRO"/>
    <n v="6800"/>
    <n v="0"/>
    <n v="2720000"/>
    <x v="26"/>
  </r>
  <r>
    <x v="14"/>
    <n v="61994"/>
    <s v="150 UNIDAD OF COV01-PA-37 - JABON QUIRURGICO CLORHEXIDINA 4% + CETRIMIDA 0 05% SOLUCION ANTISÉPTICA - GALON"/>
    <d v="2020-12-16T00:00:00"/>
    <d v="2020-12-16T00:00:00"/>
    <n v="6525000"/>
    <n v="0"/>
    <s v="SERVICIOS INTEGRADOS SAS"/>
    <n v="810000481"/>
    <s v="COV01-PA-37 - JABON QUIRURGICO CLORHEXIDINA4% + CETRIMIDA 0,05% SOLUCION ANTISÉPTICA -GALON"/>
    <n v="562.5"/>
    <s v="LITRO"/>
    <n v="11600"/>
    <n v="0"/>
    <n v="6525000"/>
    <x v="5"/>
  </r>
  <r>
    <x v="14"/>
    <n v="62140"/>
    <s v="2 000 UNIDAD OF COV01-PA-14 - DETERGENTE DESINFECTANTE DESODORANTE FRASCO PARA LA LIMPIEZA Y LA DESINFECCIÓN DE TODA SUPERFICIE LAVABLE  - FRASCO  X 1LT CON DOSIFICADOR  INTEGRADO 1 UNIDAD OF COV01-DIS-1 - DISTRIBUCION"/>
    <d v="2020-12-17T00:00:00"/>
    <d v="2020-12-17T00:00:00"/>
    <n v="5078000"/>
    <n v="0"/>
    <s v="DIGILED TECHNOLOGY S.A.S"/>
    <n v="901104771"/>
    <s v="COV01-PA-14 - DETERGENTE DESINFECTANTEDESODORANTE FRASCO PARA LA LIMPIEZA YLA DESINFECCIÓN DE TODA SUPERFICIELAVABLE - FRASCO X 1LT CON DOSIFICADORINTEGRADO"/>
    <n v="2000"/>
    <s v="LITRO"/>
    <n v="2539"/>
    <n v="0"/>
    <n v="5078000"/>
    <x v="46"/>
  </r>
  <r>
    <x v="14"/>
    <n v="62161"/>
    <s v="100 UNIDAD OF COV01-PA-64 - DISPENSADOR TOALLA DE MANOS - UNIDAD 1 UNIDAD OF COV01-DIS-1 - DISTRIBUCION 1 UNIDAD OF COV01-IVA"/>
    <d v="2020-12-17T00:00:00"/>
    <d v="2020-12-17T00:00:00"/>
    <n v="6699900"/>
    <n v="0"/>
    <s v="INDUHOTEL SAS"/>
    <n v="900300970"/>
    <s v="COV01-PA-64 - DISPENSADOR TOALLA DEMANOS - UNIDAD"/>
    <n v="100"/>
    <s v="UNIDAD"/>
    <n v="66999"/>
    <n v="12729.81"/>
    <n v="7972881"/>
    <x v="12"/>
  </r>
  <r>
    <x v="14"/>
    <n v="62163"/>
    <s v="50 UNIDAD OF COV01-PA-65 - DISPENSADOR AUTOMATICO DE JABÓN LÍQUIDO - UNIDAD 1 UNIDAD OF COV01-DIS-1 - DISTRIBUCION 1 UNIDAD OF COV01-IVA"/>
    <d v="2020-12-17T00:00:00"/>
    <d v="2020-12-17T00:00:00"/>
    <n v="5250000"/>
    <n v="0"/>
    <s v="PAULO CESAR CARVAJAL &amp; PRODUCTOS INSTITUCIONALES"/>
    <n v="10003534"/>
    <s v="COV01-PA-65 - DISPENSADOR AUTOMATICO DEJABÓN LÍQUIDO - UNIDAD"/>
    <n v="50"/>
    <s v="UNIDAD"/>
    <n v="105000"/>
    <n v="19950"/>
    <n v="6247500"/>
    <x v="12"/>
  </r>
  <r>
    <x v="14"/>
    <n v="62165"/>
    <s v="72 UNIDAD OF COV01-TEC-29 - CAMARAS PARA ESCRITORIO - LOGITECH 1 UNIDAD OF COV01-DIS-1 - DISTRIBUCION 1 UNIDAD OF COV01-IVA"/>
    <d v="2020-12-17T00:00:00"/>
    <d v="2020-12-17T00:00:00"/>
    <n v="18432000"/>
    <n v="0"/>
    <s v="GRUPO EMPRESARIAL CREAR DE COLOMBIA S.A.S."/>
    <n v="900564459"/>
    <s v="COV01-TEC-29 - CAMARAS PARA ESCRITORIO -LOGITECH"/>
    <n v="72"/>
    <s v="UNIDAD"/>
    <n v="256000"/>
    <n v="48640"/>
    <n v="21934080"/>
    <x v="18"/>
  </r>
  <r>
    <x v="14"/>
    <n v="62166"/>
    <s v="300 UNIDAD OF COV01-EPP-14 - GUANTES DE NITRILO 1 UNIDAD OF COV01-DIS-1 - DISTRIBUCION"/>
    <d v="2020-12-17T00:00:00"/>
    <d v="2020-12-17T00:00:00"/>
    <n v="17070000"/>
    <n v="0"/>
    <s v="BON SANTE SAS"/>
    <n v="901211678"/>
    <s v="EPP-14 - GUANTES DE NITRILO (CAJAS X 100 UNIDADES)"/>
    <n v="300"/>
    <s v="CAJA X 100"/>
    <n v="56900"/>
    <n v="0"/>
    <n v="17070000"/>
    <x v="10"/>
  </r>
  <r>
    <x v="14"/>
    <n v="62167"/>
    <s v="50 UNIDAD OF COV01-EPP-9 - CARETAS VISORES (PROTECTOR FACIAL) 1 UNIDAD OF COV01-DIS-1 - DISTRIBUCION"/>
    <d v="2020-12-17T00:00:00"/>
    <d v="2020-12-17T00:00:00"/>
    <n v="100000"/>
    <n v="0"/>
    <s v="PROCTECH TECNOLOGIA EN PROTECCION S.A.S."/>
    <n v="900907931"/>
    <s v="COV01-EPP-9 - CARETAS VISORES (PROTECTORFACIAL)"/>
    <n v="50"/>
    <s v="UNIDAD"/>
    <n v="2000"/>
    <n v="0"/>
    <n v="100000"/>
    <x v="11"/>
  </r>
  <r>
    <x v="14"/>
    <n v="62248"/>
    <s v="30 UNIDAD OF COV01-PA-69 - CINTA MARCACIÓN Y DELIMITACIÓN DE ÁREAS - ROLLO POR 33 METROS 1 UNIDAD OF COV01-DIS-1 - DISTRIBUCION 1 UNIDAD OF COV01-IVA"/>
    <d v="2020-12-18T00:00:00"/>
    <d v="2020-12-18T00:00:00"/>
    <n v="357000"/>
    <n v="0"/>
    <s v="BON SANTE SAS"/>
    <n v="901211678"/>
    <s v="PA-69 - CINTA MARCACIÓN Y DELIMITACIÓN DE ÁREAS - ROLLO POR 33 METROS"/>
    <n v="30"/>
    <s v="ROLLO"/>
    <n v="10000"/>
    <n v="1900"/>
    <n v="357000"/>
    <x v="33"/>
  </r>
  <r>
    <x v="14"/>
    <n v="62249"/>
    <s v="50 UNIDAD OF COV01-PA-65 - DISPENSADOR AUTOMATICO DE JABÓN LÍQUIDO - UNIDAD 30 UNIDAD OF COV01-PA-51 - PAPEL VINIPEL - ROLLO MÍNIMO DE 12.5 CM X 200M 1 UNIDAD OF COV01-DIS-1 - DISTRIBUCION 1 UNIDAD OF COV01-IVA"/>
    <d v="2020-12-18T00:00:00"/>
    <d v="2020-12-18T00:00:00"/>
    <n v="8034335.5"/>
    <n v="0"/>
    <s v="PANORAMMA DISENO DE SOLUCIONES S.A.S."/>
    <n v="900671732"/>
    <s v="COV01-PA-65 - DISPENSADOR AUTOMATICO DEJABÓN LÍQUIDO - UNIDAD"/>
    <n v="50"/>
    <s v="UNIDAD"/>
    <n v="116995"/>
    <n v="22229.05"/>
    <n v="6961202.4999999991"/>
    <x v="12"/>
  </r>
  <r>
    <x v="14"/>
    <n v="62249"/>
    <s v="50 UNIDAD OF COV01-PA-65 - DISPENSADOR AUTOMATICO DE JABÓN LÍQUIDO - UNIDAD 30 UNIDAD OF COV01-PA-51 - PAPEL VINIPEL - ROLLO MÍNIMO DE 12.5 CM X 200M 1 UNIDAD OF COV01-DIS-1 - DISTRIBUCION 1 UNIDAD OF COV01-IVA"/>
    <d v="2020-12-18T00:00:00"/>
    <d v="2020-12-18T00:00:00"/>
    <n v="8034335.5"/>
    <n v="0"/>
    <s v="PANORAMMA DISENO DE SOLUCIONES S.A.S."/>
    <n v="900671732"/>
    <s v="COV01-PA-51 - PAPEL VINIPEL - ROLLO MÍNIMODE 12.5 CM X 200M"/>
    <n v="30"/>
    <s v="ROLLO X 200 MTS"/>
    <n v="5690"/>
    <n v="1081.0999999999999"/>
    <n v="203133"/>
    <x v="7"/>
  </r>
  <r>
    <x v="14"/>
    <n v="62250"/>
    <s v="9 000 UNIDAD OF COV01-PA-59 - TOALLAS PARA MANOS 3 - UNIDAD 1 UNIDAD OF COV01-DIS-1 - DISTRIBUCION 1 UNIDAD OF COV01-IVA"/>
    <d v="2020-12-18T00:00:00"/>
    <d v="2020-12-22T00:00:00"/>
    <n v="26775000"/>
    <n v="0"/>
    <s v="SOLOASEO CAFETERIA DISTRIBUCIONES"/>
    <n v="19254921"/>
    <s v="PA-59 - TOALLAS PARA MANOS PAQUETE X 50"/>
    <n v="9000"/>
    <s v="PAQUETE"/>
    <n v="2500"/>
    <n v="475"/>
    <n v="26775000"/>
    <x v="8"/>
  </r>
  <r>
    <x v="14"/>
    <n v="62501"/>
    <s v="30 UNIDAD OF ETC02--LOTE1.6-ETP AIO 21.5PULGADAS WIN 10 PRO 64 BITS 3900 INTERMEDIA NA HDD + SSD 1 TB 7200 RPM + 256 GB PCIE 8 GB INTERNA ZONA 1 30 UNIDAD OF ETC02--LOTE1.6-SERVICIO INSTALACION SOFTWARE Y CONFIGURACION DEL ETP ETP VALOR UNITARIO POR ETP NA NA NA NA NA NA ZONA 1 30 UNIDAD OF ETC02--LOTE1.6-SERVICIO MIGRACION O TRANSFERENCIA DE DATOS GB POR ETP VALOR UNITARIO POR ETP NA NA NA NA NA NA ZONA 1 30 UNIDAD OF ETC02--LOTE1.6-COMPONENTE TARJETA DE RED INALAMBRICA PCIE 802.11 AC 2X2 NA NA NA NA NA NA NA NA ZONA 1 30 UNIDAD OF ETC02--LOTE1.6-COMPONENTE UNIDAD OPTICA INTERNA  DVD/CD +/- R RW MIN 8X PARA 21.5PULGADAS Y 23.8PULGADAS NA NA NA NA NA NA NA NA ZONA 1 1 UNIDAD OF ETC02--IVA"/>
    <d v="2020-12-22T00:00:00"/>
    <d v="2020-12-22T00:00:00"/>
    <n v="76952778"/>
    <n v="0"/>
    <s v="NEX COMPUTER S.A.S."/>
    <n v="830110570"/>
    <s v="30 UNIDAD OF ETC02--LOTE1.6-ETP AIO 21.5PULGADAS WIN 10 PRO 64 BITS 3900 INTERMEDIA NA HDD + SSD 1 TB 7200 RPM + 256 GB PCIE 8 GB INTERNA ZONA 1 30 UNIDAD OF ETC02--LOTE1.6-SERVICIO INSTALACION SOFTWARE Y CONFIGURACION DEL ETP ETP VALOR UNITARIO POR ETP NA NA NA NA NA NA ZONA 1 30 UNIDAD OF ETC02--LOTE1.6-SERVICIO MIGRACION O TRANSFERENCIA DE DATOS GB POR ETP VALOR UNITARIO POR ETP NA NA NA NA NA NA ZONA 1 30 UNIDAD OF ETC02--LOTE1.6-COMPONENTE TARJETA DE RED INALAMBRICA PCIE 802.11 AC 2X2 NA NA NA NA NA NA NA NA ZONA 1 30 UNIDAD OF ETC02--LOTE1.6-COMPONENTE UNIDAD OPTICA INTERNA  DVD/CD +/- R RW MIN 8X PARA 21.5PULGADAS Y 23.8PULGADAS NA NA NA NA NA NA NA NA ZONA 1 1 UNIDAD OF ETC02--IVA"/>
    <n v="30"/>
    <s v="UNIDAD"/>
    <n v="2155540"/>
    <n v="409552.6"/>
    <n v="76952778"/>
    <x v="21"/>
  </r>
  <r>
    <x v="14"/>
    <n v="62670"/>
    <s v="83 UNIDAD OF COV01-TEC-13 - DIADEMA INALÁMBRICA MONOURAL  SENCILLA  - HEADSET 1 UNIDAD OF COV01-IVA"/>
    <d v="2020-12-23T00:00:00"/>
    <d v="2020-12-23T00:00:00"/>
    <n v="15803200"/>
    <n v="0"/>
    <s v="MULTIVERSE TECH SERVICES SAS"/>
    <n v="900584757"/>
    <s v="COV01-TEC-13 - DIADEMA INALÁMBRICAMONOURAL SENCILLA - HEADSET"/>
    <n v="83"/>
    <s v="UNIDAD"/>
    <n v="160000"/>
    <n v="30400"/>
    <n v="15803200"/>
    <x v="19"/>
  </r>
  <r>
    <x v="14"/>
    <n v="62734"/>
    <s v="650 UNIDAD OF COV01-EPP-29 - TAPABOCA TELA POLYESTER ANTI FLUIDO 1 UNIDAD OF COV01-DIS-1 - DISTRIBUCION"/>
    <d v="2020-12-23T00:00:00"/>
    <d v="2020-12-23T00:00:00"/>
    <n v="658700"/>
    <n v="0"/>
    <s v="BON SANTE SAS"/>
    <n v="901211678"/>
    <s v="650 UNIDAD OF COV01-EPP-29 - TAPABOCA TELA POLYESTER ANTI FLUIDO 1 UNIDAD OF COV01-DIS-1 - DISTRIBUCION"/>
    <n v="650"/>
    <s v="UNIDAD"/>
    <n v="898"/>
    <n v="0"/>
    <n v="583700"/>
    <x v="3"/>
  </r>
  <r>
    <x v="14"/>
    <n v="62740"/>
    <s v="500 UNIDAD OF COV01-EPP-30 - TAPABOCAS DESECHABLES 1 UNIDAD OF COV01-DIS-1 - DISTRIBUCION"/>
    <d v="2020-12-23T00:00:00"/>
    <d v="2020-12-23T00:00:00"/>
    <n v="3337500"/>
    <n v="0"/>
    <s v="TOP IMPORT SAS"/>
    <n v="900932987"/>
    <s v="COV01-EPP-30 - TAPABOCAS DESECHABLES"/>
    <n v="500"/>
    <s v="UNIDAD"/>
    <n v="6675"/>
    <n v="0"/>
    <n v="3337500"/>
    <x v="3"/>
  </r>
  <r>
    <x v="14"/>
    <n v="62745"/>
    <s v="1 000 UNIDAD OF COV01-PA-18 - GEL ANTIBACTERIAL  - FC X1LT 1 UNIDAD OF COV01-DIS-1 - DISTRIBUCION"/>
    <d v="2020-12-23T00:00:00"/>
    <d v="2020-12-23T00:00:00"/>
    <n v="4450000"/>
    <n v="0"/>
    <s v="SUMIMAS S.A.S."/>
    <n v="830001338"/>
    <s v="PA-18 - GEL ANTIBACTERIAL  - FC X1LT"/>
    <n v="1000"/>
    <s v="LITRO"/>
    <n v="4450"/>
    <n v="0"/>
    <n v="4450000"/>
    <x v="4"/>
  </r>
  <r>
    <x v="14"/>
    <n v="62768"/>
    <s v="20 UNIDAD OF GS-PILA RECARGABLE AA X2 ENERGIZER COD: 8403870 40 UNIDAD OF GS-CARGADOR P/PILAS AA-AAA-9 VOL + 4 PILAS. COD: 8507251 20 UNIDAD OF GS-PILA RECARGABLE AAA X2 ENERGIZER COD: 8373038 800 UNIDAD OF GS-TAPABOCA DESECHABLE T/MEDICO CAJAX50U COD: 900507952"/>
    <d v="2020-12-24T00:00:00"/>
    <d v="2020-12-24T00:00:00"/>
    <n v="26944480"/>
    <n v="0"/>
    <s v="PANAMERICANA LIBRERÍA Y PAPELERÍA S.A."/>
    <n v="830037946"/>
    <s v="GS-PILA RECARGABLE AA X2 ENERGIZER"/>
    <n v="20"/>
    <s v="UNIDAD"/>
    <n v="22003"/>
    <n v="0"/>
    <n v="440060"/>
    <x v="36"/>
  </r>
  <r>
    <x v="14"/>
    <n v="62768"/>
    <s v="20 UNIDAD OF GS-PILA RECARGABLE AA X2 ENERGIZER COD: 8403870 40 UNIDAD OF GS-CARGADOR P/PILAS AA-AAA-9 VOL + 4 PILAS. COD: 8507251 20 UNIDAD OF GS-PILA RECARGABLE AAA X2 ENERGIZER COD: 8373038 800 UNIDAD OF GS-TAPABOCA DESECHABLE T/MEDICO CAJAX50U COD: 900507952"/>
    <d v="2020-12-24T00:00:00"/>
    <d v="2020-12-24T00:00:00"/>
    <n v="26944480"/>
    <n v="0"/>
    <s v="PANAMERICANA LIBRERÍA Y PAPELERÍA S.A."/>
    <n v="830037946"/>
    <s v="GS-CARGADOR P/PILAS AA-AAA-9 VOL + 4 PILAS"/>
    <n v="40"/>
    <s v="UNIDAD"/>
    <n v="57703"/>
    <n v="0"/>
    <n v="2308120"/>
    <x v="36"/>
  </r>
  <r>
    <x v="14"/>
    <n v="62768"/>
    <s v="20 UNIDAD OF GS-PILA RECARGABLE AA X2 ENERGIZER COD: 8403870 40 UNIDAD OF GS-CARGADOR P/PILAS AA-AAA-9 VOL + 4 PILAS. COD: 8507251 20 UNIDAD OF GS-PILA RECARGABLE AAA X2 ENERGIZER COD: 8373038 800 UNIDAD OF GS-TAPABOCA DESECHABLE T/MEDICO CAJAX50U COD: 900507952"/>
    <d v="2020-12-24T00:00:00"/>
    <d v="2020-12-24T00:00:00"/>
    <n v="26944480"/>
    <n v="0"/>
    <s v="PANAMERICANA LIBRERÍA Y PAPELERÍA S.A."/>
    <n v="830037946"/>
    <s v="GS-PILA RECARGABLE AAA X2 ENERGIZER"/>
    <n v="20"/>
    <s v="UNIDAD"/>
    <n v="15815"/>
    <n v="0"/>
    <n v="316300"/>
    <x v="36"/>
  </r>
  <r>
    <x v="14"/>
    <n v="62768"/>
    <s v="20 UNIDAD OF GS-PILA RECARGABLE AA X2 ENERGIZER COD: 8403870 40 UNIDAD OF GS-CARGADOR P/PILAS AA-AAA-9 VOL + 4 PILAS. COD: 8507251 20 UNIDAD OF GS-PILA RECARGABLE AAA X2 ENERGIZER COD: 8373038 800 UNIDAD OF GS-TAPABOCA DESECHABLE T/MEDICO CAJAX50U COD: 900507952"/>
    <d v="2020-12-24T00:00:00"/>
    <d v="2020-12-24T00:00:00"/>
    <n v="26944480"/>
    <n v="0"/>
    <s v="PANAMERICANA LIBRERÍA Y PAPELERÍA S.A."/>
    <n v="830037946"/>
    <s v="GS-TAPABOCA DESECHABLE T/MEDICOCAJAX50U"/>
    <n v="40000"/>
    <s v="UNIDAD"/>
    <n v="597"/>
    <n v="0"/>
    <n v="23880000"/>
    <x v="3"/>
  </r>
  <r>
    <x v="14"/>
    <s v="CD-SO-12-2020"/>
    <s v="PRESTACIÓN DEL SERVICIO DE VIGÍA EN SALUD PARA FORTALECER LA MEDIDAS DE PREVENCIÓN DEL CONTAGIO Y PROPAGACION DEL COVID -19 EN CUMPLIMIENTO DEL ACUERDO PCSJA20-11567 DEL CONSEJO SUPERIOR DE LA JUDICATURA   EN LAS SEDE JUDICIALE"/>
    <d v="2020-06-30T00:00:00"/>
    <d v="2020-07-01T00:00:00"/>
    <n v="5600000"/>
    <n v="0"/>
    <s v="LINDA KATHERINE CARDONA GONZALEZ"/>
    <n v="1088316189"/>
    <s v="PRESTACIÓN DEL SERVICIO DE VIGÍA EN SALUD PARA FORTALECER LA MEDIDAS DE PREVENCIÓN DEL CONTAGIO Y PROPAGACION DEL COVID -19 EN CUMPLIMIENTO DEL ACUERDO PCSJA20-11567 DEL CONSEJO SUPERIOR DE LA JUDICATURA   EN LAS SEDE JUDICIALES POR CUATRO MESES"/>
    <n v="1"/>
    <s v="VALOR MENSUAL POR PERSONA"/>
    <n v="1400000"/>
    <n v="0"/>
    <n v="5600000"/>
    <x v="6"/>
  </r>
  <r>
    <x v="14"/>
    <s v="CD-SO-13-2020"/>
    <s v="PRESTACIÓN DEL SERVICIO DE VIGÍA EN SALUD PARA FORTALECER LA MEDIDAS DE PREVENCIÓN DEL CONTAGIO Y PROPAGACION DEL COVID -19 EN CUMPLIMIENTO DEL ACUERDO PCSJA20-11567 DEL CONSEJO SUPERIOR DE LA JUDICATURA   EN LAS SEDE JUDICIALE"/>
    <d v="2020-06-30T00:00:00"/>
    <d v="2020-07-01T00:00:00"/>
    <n v="5600000"/>
    <n v="0"/>
    <s v="ANA MARIA TREJOS VINASCO"/>
    <n v="1088344089"/>
    <s v="PRESTACIÓN DEL SERVICIO DE VIGÍA EN SALUD PARA FORTALECER LA MEDIDAS DE PREVENCIÓN DEL CONTAGIO Y PROPAGACION DEL COVID -19 EN CUMPLIMIENTO DEL ACUERDO PCSJA20-11567 DEL CONSEJO SUPERIOR DE LA JUDICATURA   EN LAS SEDE JUDICIALES POR CUATRO MESES"/>
    <n v="1"/>
    <s v="VALOR MENSUAL POR PERSONA"/>
    <n v="1400000"/>
    <n v="0"/>
    <n v="5600000"/>
    <x v="6"/>
  </r>
  <r>
    <x v="14"/>
    <s v="CD-SO-14-2020"/>
    <s v="PRESTACIÓN DEL SERVICIO DE VIGÍA EN SALUD PARA FORTALECER LA MEDIDAS DE PREVENCIÓN DEL CONTAGIO Y PROPAGACION DEL COVID -19 EN CUMPLIMIENTO DEL ACUERDO PCSJA20-11567 DEL CONSEJO SUPERIOR DE LA JUDICATURA   EN LAS SEDE JUDICIALE"/>
    <d v="2020-06-30T00:00:00"/>
    <d v="2020-07-01T00:00:00"/>
    <n v="5600000"/>
    <n v="0"/>
    <s v="RAUL ESTEBAN RIVERA VANEGAS"/>
    <n v="1089720322"/>
    <s v="PRESTACIÓN DEL SERVICIO DE VIGÍA EN SALUD PARA FORTALECER LA MEDIDAS DE PREVENCIÓN DEL CONTAGIO Y PROPAGACION DEL COVID -19 EN CUMPLIMIENTO DEL ACUERDO PCSJA20-11567 DEL CONSEJO SUPERIOR DE LA JUDICATURA   EN LAS SEDE JUDICIALE"/>
    <n v="1"/>
    <s v="VALOR MENSUAL POR PERSONA"/>
    <n v="1400000"/>
    <n v="0"/>
    <n v="5600000"/>
    <x v="6"/>
  </r>
  <r>
    <x v="14"/>
    <s v="CD-SO-15-2020"/>
    <s v="PRESTACIÓN DEL SERVICIO DE VIGÍA EN SALUD PARA FORTALECER LA MEDIDAS DE PREVENCIÓN DEL CONTAGIO Y PROPAGACION DEL COVID -19 EN CUMPLIMIENTO DEL ACUERDO PCSJA20-11567 DEL CONSEJO SUPERIOR DE LA JUDICATURA   EN LAS SEDE JUDICIALE"/>
    <d v="2020-06-30T00:00:00"/>
    <d v="2020-07-01T00:00:00"/>
    <n v="5600000"/>
    <n v="0"/>
    <s v="CARLOS MARIO ALZATE MONTOYA"/>
    <n v="1088311737"/>
    <s v="PRESTACIÓN DEL SERVICIO DE VIGÍA EN SALUD PARA FORTALECER LA MEDIDAS DE PREVENCIÓN DEL CONTAGIO Y PROPAGACION DEL COVID -19 EN CUMPLIMIENTO DEL ACUERDO PCSJA20-11567 DEL CONSEJO SUPERIOR DE LA JUDICATURA   EN LAS SEDE JUDICIALES POR CUATRO MESES"/>
    <n v="1"/>
    <s v="VALOR MENSUAL POR PERSONA"/>
    <n v="1400000"/>
    <n v="0"/>
    <n v="5600000"/>
    <x v="6"/>
  </r>
  <r>
    <x v="14"/>
    <s v="CD-SO-16-2020"/>
    <s v="PRESTACIÓN DEL SERVICIO DE VIGÍA EN SALUD PARA FORTALECER LA MEDIDAS DE PREVENCIÓN DEL CONTAGIO Y PROPAGACION DEL COVID -19 EN CUMPLIMIENTO DEL ACUERDO PCSJA20-11567 DEL CONSEJO SUPERIOR DE LA JUDICATURA   EN LAS SEDE JUDICIALE"/>
    <d v="2020-06-30T00:00:00"/>
    <d v="2020-07-01T00:00:00"/>
    <n v="5600000"/>
    <n v="0"/>
    <s v="ANGIE TATIANA VASQUEZ ATEHORTUA"/>
    <n v="1225091931"/>
    <s v="PRESTACIÓN DEL SERVICIO DE VIGÍA EN SALUD PARA FORTALECER LA MEDIDAS DE PREVENCIÓN DEL CONTAGIO Y PROPAGACION DEL COVID -19 EN CUMPLIMIENTO DEL ACUERDO PCSJA20-11567 DEL CONSEJO SUPERIOR DE LA JUDICATURA   EN LAS SEDE JUDICIALE"/>
    <n v="1"/>
    <s v="VALOR MENSUAL POR PERSONA"/>
    <n v="1400000"/>
    <n v="0"/>
    <n v="5600000"/>
    <x v="6"/>
  </r>
  <r>
    <x v="14"/>
    <s v="CD-SO-17-2020"/>
    <s v="PRESTACIÓN DEL SERVICIO DE VIGÍA EN SALUD PARA FORTALECER LA MEDIDAS DE PREVENCIÓN DEL CONTAGIO Y PROPAGACION DEL COVID -19 EN CUMPLIMIENTO DEL ACUERDO PCSJA20-11567 DEL CONSEJO SUPERIOR DE LA JUDICATURA   EN LAS SEDES JUDICIAL"/>
    <d v="2020-06-30T00:00:00"/>
    <d v="2020-07-01T00:00:00"/>
    <n v="5600000"/>
    <n v="0"/>
    <s v="TATIANA ALEJANDRA GUAPACHA ARICAPA"/>
    <n v="1088029405"/>
    <s v="PRESTACIÓN DEL SERVICIO DE VIGÍA EN SALUD PARA FORTALECER LA MEDIDAS DE PREVENCIÓN DEL CONTAGIO Y PROPAGACION DEL COVID -19 EN CUMPLIMIENTO DEL ACUERDO PCSJA20-11567 DEL CONSEJO SUPERIOR DE LA JUDICATURA   EN LAS SEDES JUDICIALES POR CUATRO MESES"/>
    <n v="1"/>
    <s v="VALOR MENSUAL POR PERSONA"/>
    <n v="1400000"/>
    <n v="0"/>
    <n v="5600000"/>
    <x v="6"/>
  </r>
  <r>
    <x v="14"/>
    <s v="CD-SO-18-2020"/>
    <s v="PRESTACIÓN DEL SERVICIO DE VIGÍA EN SALUD PARA FORTALECER LA MEDIDAS DE PREVENCIÓN DEL CONTAGIO Y PROPAGACION DEL COVID -19 EN CUMPLIMIENTO DEL ACUERDO PCSJA20-11567 DEL CONSEJO SUPERIOR DE LA JUDICATURA   EN LAS SEDE JUDICIALE"/>
    <d v="2020-06-30T00:00:00"/>
    <d v="2020-07-01T00:00:00"/>
    <n v="5600000"/>
    <n v="0"/>
    <s v="SANTIAGO OSORIO MEJA"/>
    <n v="1088020643"/>
    <s v="PRESTACIÓN DEL SERVICIO DE VIGÍA EN SALUD PARA FORTALECER LA MEDIDAS DE PREVENCIÓN DEL CONTAGIO Y PROPAGACION DEL COVID -19 EN CUMPLIMIENTO DEL ACUERDO PCSJA20-11567 DEL CONSEJO SUPERIOR DE LA JUDICATURA   EN LAS SEDE JUDICIALES POR CUATRO MESES"/>
    <n v="1"/>
    <s v="VALOR MENSUAL POR PERSONA"/>
    <n v="1400000"/>
    <n v="0"/>
    <n v="5600000"/>
    <x v="6"/>
  </r>
  <r>
    <x v="14"/>
    <s v="CD-SO-19-2020"/>
    <s v="PRESTACIÓN DEL SERVICIO DE VIGÍA EN SALUD PARA FORTALECER LA MEDIDAS DE PREVENCIÓN DEL CONTAGIO Y PROPAGACION DEL COVID -19 EN CUMPLIMIENTO DEL ACUERDO PCSJA20-11567 DEL CONSEJO SUPERIOR DE LA JUDICATURA   EN LAS SEDE JUDICIALE"/>
    <d v="2020-06-30T00:00:00"/>
    <d v="2020-07-01T00:00:00"/>
    <n v="5600000"/>
    <n v="0"/>
    <s v="DANIELA GONZALEZ LONDOÑO"/>
    <n v="1086279500"/>
    <s v="PRESTACIÓN DEL SERVICIO DE VIGÍA EN SALUD PARA FORTALECER LA MEDIDAS DE PREVENCIÓN DEL CONTAGIO Y PROPAGACION DEL COVID -19 EN CUMPLIMIENTO DEL ACUERDO PCSJA20-11567 DEL CONSEJO SUPERIOR DE LA JUDICATURA   EN LAS SEDE JUDICIALE"/>
    <n v="1"/>
    <s v="VALOR MENSUAL POR PERSONA"/>
    <n v="1400000"/>
    <n v="0"/>
    <n v="5600000"/>
    <x v="6"/>
  </r>
  <r>
    <x v="14"/>
    <s v="CD-SO-20-2020"/>
    <s v="PRESTACIÓN DEL SERVICIO DE VIGÍA EN SALUD PARA FORTALECER LA MEDIDAS DE PREVENCIÓN DEL CONTAGIO Y PROPAGACION DEL COVID -19 EN CUMPLIMIENTO DEL ACUERDO PCSJA20-11567 DEL CONSEJO SUPERIOR DE LA JUDICATURA   EN LAS SEDE JUDICIALE"/>
    <d v="2020-06-30T00:00:00"/>
    <d v="2020-07-01T00:00:00"/>
    <n v="5600000"/>
    <n v="0"/>
    <s v="CINDY TATIANA GARCIA TOBAR"/>
    <n v="1004994981"/>
    <s v="PRESTACIÓN DEL SERVICIO DE VIGÍA EN SALUD PARA FORTALECER LA MEDIDAS DE PREVENCIÓN DEL CONTAGIO Y PROPAGACION DEL COVID -19 EN CUMPLIMIENTO DEL ACUERDO PCSJA20-11567 DEL CONSEJO SUPERIOR DE LA JUDICATURA   EN LAS SEDE JUDICIALES POR CUATRO MESES"/>
    <n v="1"/>
    <s v="VALOR MENSUAL POR PERSONA"/>
    <n v="1400000"/>
    <n v="0"/>
    <n v="5600000"/>
    <x v="6"/>
  </r>
  <r>
    <x v="14"/>
    <s v="CD-SO-21-2020"/>
    <s v="PRESTACIÓN DEL SERVICIO DE VIGÍA EN SALUD PARA FORTALECER LA MEDIDAS DE PREVENCIÓN DEL CONTAGIO Y PROPAGACION DEL COVID -19 EN CUMPLIMIENTO DEL ACUERDO PCSJA20-11567 DEL CONSEJO SUPERIOR DE LA JUDICATURA   EN LAS SEDE JUDICIALE"/>
    <d v="2020-06-30T00:00:00"/>
    <d v="2020-07-01T00:00:00"/>
    <n v="5600000"/>
    <n v="0"/>
    <s v="ANA MARIA CARDONA VARGAS"/>
    <n v="1089747129"/>
    <s v="PRESTACIÓN DEL SERVICIO DE VIGÍA EN SALUD PARA FORTALECER LA MEDIDAS DE PREVENCIÓN DEL CONTAGIO Y PROPAGACION DEL COVID -19 EN CUMPLIMIENTO DEL ACUERDO PCSJA20-11567 DEL CONSEJO SUPERIOR DE LA JUDICATURA   EN LAS SEDE JUDICIALE"/>
    <n v="1"/>
    <s v="VALOR MENSUAL POR PERSONA"/>
    <n v="1400000"/>
    <n v="0"/>
    <n v="5600000"/>
    <x v="6"/>
  </r>
  <r>
    <x v="14"/>
    <s v="CD-SO-22-2020"/>
    <s v="PRESTACIÓN DEL SERVICIO DE VIGÍA EN SALUD PARA FORTALECER LA MEDIDAS DE PREVENCIÓN DEL CONTAGIO Y PROPAGACION DEL COVID -19 EN CUMPLIMIENTO DEL ACUERDO PCSJA20-11567 DEL CONSEJO SUPERIOR DE LA JUDICATURA   EN LAS SEDE JUDICIALE"/>
    <d v="2020-06-30T00:00:00"/>
    <d v="2020-07-01T00:00:00"/>
    <n v="5600000"/>
    <n v="0"/>
    <s v="CLAUDIA PATRICIA CELIS BARTOLO"/>
    <n v="1087493203"/>
    <s v="PRESTACIÓN DEL SERVICIO DE VIGÍA EN SALUD PARA FORTALECER LA MEDIDAS DE PREVENCIÓN DEL CONTAGIO Y PROPAGACION DEL COVID -19 EN CUMPLIMIENTO DEL ACUERDO PCSJA20-11567 DEL CONSEJO SUPERIOR DE LA JUDICATURA   EN LAS SEDE JUDICIALES POR CUATRO MESES"/>
    <n v="1"/>
    <s v="VALOR MENSUAL POR PERSONA"/>
    <n v="1400000"/>
    <n v="0"/>
    <n v="5600000"/>
    <x v="6"/>
  </r>
  <r>
    <x v="14"/>
    <s v="CD-SO-23-2020"/>
    <s v="PRESTACIÓN DEL SERVICIO DE VIGÍA EN SALUD PARA FORTALECER LA MEDIDAS DE PREVENCIÓN DEL CONTAGIO Y PROPAGACION DEL COVID -19 EN CUMPLIMIENTO DEL ACUERDO PCSJA20-11567 DEL CONSEJO SUPERIOR DE LA JUDICATURA   EN LAS SEDE JUDICIALE"/>
    <d v="2020-06-30T00:00:00"/>
    <d v="2020-07-01T00:00:00"/>
    <n v="5600000"/>
    <n v="0"/>
    <s v="JESUS ANTONIO HERNANEZ CASTRILLON"/>
    <n v="18607789"/>
    <s v="PRESTACIÓN DEL SERVICIO DE VIGÍA EN SALUD PARA FORTALECER LA MEDIDAS DE PREVENCIÓN DEL CONTAGIO Y PROPAGACION DEL COVID -19 EN CUMPLIMIENTO DEL ACUERDO PCSJA20-11567 DEL CONSEJO SUPERIOR DE LA JUDICATURA   EN LAS SEDE JUDICIALE"/>
    <n v="1"/>
    <s v="VALOR MENSUAL POR PERSONA"/>
    <n v="1400000"/>
    <n v="0"/>
    <n v="5600000"/>
    <x v="6"/>
  </r>
  <r>
    <x v="14"/>
    <s v="CD-SO-24-2020"/>
    <s v="PRESTACIÓN DEL SERVICIO DE VIGÍA EN SALUD-PROFESIONAL EN ENFERMERÍA PARA FORTALECER LA MEDIDAS DE PREVENCIÓN DEL CONTAGIO Y PROPAGACION DEL COVID -19 EN CUMPLIMIENTO DEL ACUERDO PCSJA20-11567 DEL CONSEJO SUPERIOR DE LA JUDICATU"/>
    <d v="2020-06-30T00:00:00"/>
    <d v="2020-07-01T00:00:00"/>
    <n v="11200000"/>
    <n v="0"/>
    <s v="LUISA FERNANDA RAMIREZ GARCIA"/>
    <n v="1088301527"/>
    <s v="PRESTACIÓN DEL SERVICIO DE VIGÍA EN SALUD-PROFESIONAL EN ENFERMERÍA PARA FORTALECER LA MEDIDAS DE PREVENCIÓN DEL CONTAGIO Y PROPAGACION DEL COVID -19 EN CUMPLIMIENTO DEL ACUERDO PCSJA20-11567 DEL CONSEJO SUPERIOR DE LA JUDICATURA POR CUATRO MESES"/>
    <n v="1"/>
    <s v="VALOR MENSUAL POR PERSONA"/>
    <n v="2800000"/>
    <n v="0"/>
    <n v="11200000"/>
    <x v="6"/>
  </r>
  <r>
    <x v="14"/>
    <s v="CD-SO-25-2020"/>
    <s v="PRESTACIÓN DEL SERVICIO DE VIGÍA EN SALUD PARA FORTALECER LA MEDIDAS DE PREVENCIÓN DEL CONTAGIO Y PROPAGACION DEL COVID -19 EN CUMPLIMIENTO DEL ACUERDO PCSJA20-11567 DEL CONSEJO SUPERIOR DE LA JUDICATURA   EN LAS SEDE JUDICIALE"/>
    <d v="2020-06-30T00:00:00"/>
    <d v="2020-07-01T00:00:00"/>
    <n v="5600000"/>
    <n v="0"/>
    <s v="JIMENA GALLEGO MOLINA"/>
    <n v="1004688602"/>
    <s v="PRESTACIÓN DEL SERVICIO DE VIGÍA EN SALUD PARA FORTALECER LA MEDIDAS DE PREVENCIÓN DEL CONTAGIO Y PROPAGACION DEL COVID -19 EN CUMPLIMIENTO DEL ACUERDO PCSJA20-11567 DEL CONSEJO SUPERIOR DE LA JUDICATURA   EN LAS SEDE JUDICIALE"/>
    <n v="1"/>
    <s v="VALOR MENSUAL POR PERSONA"/>
    <n v="1400000"/>
    <n v="0"/>
    <n v="5600000"/>
    <x v="6"/>
  </r>
  <r>
    <x v="14"/>
    <s v="CD-SO-26-2020"/>
    <s v="PRESTACIÓN DEL SERVICIO DE VIGÍA EN SALUD PARA FORTALECER LA MEDIDAS DE PREVENCIÓN DEL CONTAGIO Y PROPAGACION DEL COVID -19 EN CUMPLIMIENTO DEL ACUERDO PCSJA20-11567 DEL CONSEJO SUPERIOR DE LA JUDICATURA   EN LAS SEDE JUDICIALE"/>
    <d v="2020-06-30T00:00:00"/>
    <d v="2020-07-01T00:00:00"/>
    <n v="5600000"/>
    <n v="0"/>
    <s v="KAREN PALACIO"/>
    <n v="1010072086"/>
    <s v="PRESTACIÓN DEL SERVICIO DE VIGÍA EN SALUD PARA FORTALECER LA MEDIDAS DE PREVENCIÓN DEL CONTAGIO Y PROPAGACION DEL COVID -19 EN CUMPLIMIENTO DEL ACUERDO PCSJA20-11567 DEL CONSEJO SUPERIOR DE LA JUDICATURA   EN LAS SEDE JUDICIALES POR CUATRO MESES"/>
    <n v="1"/>
    <s v="VALOR MENSUAL POR PERSONA"/>
    <n v="1400000"/>
    <n v="0"/>
    <n v="5600000"/>
    <x v="6"/>
  </r>
  <r>
    <x v="14"/>
    <s v="CD-SO-27-2020"/>
    <s v="CONTRATAR EN NOMBRE DE LA NACIÓN – CONSEJO SUPERIOR DE LA JUDICATURA, LA PRESTACIÓN DEL SERVICIO DE VIGÍA EN SALUD PARA FORTALECER LA MEDIDAS DE PREVENCIÓN DEL CONTAGIO Y PROPAGACION DEL COVID -19 EN CUMPLIMIENTO DEL ACUERDO PCSJA20-11567 DEL CONSEJO SUPERIOR DE LA JUDICATURA , EN LAS SEDE JUDICIALES EN EL MUNICIPIO DE APÍA"/>
    <d v="2020-07-01T00:00:00"/>
    <d v="2020-07-08T00:00:00"/>
    <n v="5600000"/>
    <n v="0"/>
    <s v="ANGELA LORENA CEBALLOS ARANGO"/>
    <n v="1088537971"/>
    <s v="CONTRATAR EN NOMBRE DE LA NACIÓN – CONSEJO SUPERIOR DE LA JUDICATURA, LA PRESTACIÓN DEL SERVICIO DE VIGÍA EN SALUD PARA FORTALECER LA MEDIDAS DE PREVENCIÓN DEL CONTAGIO Y PROPAGACION DEL COVID -19 EN CUMPLIMIENTO DEL ACUERDO PCSJA20-11567 DEL CONSEJO SUPERIOR DE LA JUDICATURA , EN LAS SEDE JUDICIALES EN EL MUNICIPIO DE APÍA"/>
    <n v="1"/>
    <s v="VALOR MENSUAL POR PERSONA"/>
    <n v="1400000"/>
    <n v="0"/>
    <n v="5600000"/>
    <x v="6"/>
  </r>
  <r>
    <x v="14"/>
    <s v="CD-SO-28-2020"/>
    <s v="CONTRATAR EN NOMBRE DE LA NACIÓN – CONSEJO SUPERIOR DE LA JUDICATURA, LA PRESTACIÓN DEL SERVICIO DE VIGÍA EN SALUD PARA FORTALECER LA MEDIDAS DE PREVENCIÓN DEL CONTAGIO Y PROPAGACION DEL COVID -19 EN CUMPLIMIENTO DEL ACUERDO PCSJA20-11567 DEL CONSEJO SUPERIOR DE LA JUDICATURA , EN LAS SEDE JUDICIALES EN EL MUNICIPIO DE PUEBLO RICO"/>
    <d v="2020-07-01T00:00:00"/>
    <d v="2020-07-06T00:00:00"/>
    <n v="5600000"/>
    <n v="0"/>
    <s v="JANDRY LORENA MOLINA CHIQUITO"/>
    <n v="1144187232"/>
    <s v="CONTRATAR EN NOMBRE DE LA NACIÓN – CONSEJO SUPERIOR DE LA JUDICATURA, LA PRESTACIÓN DEL SERVICIO DE VIGÍA EN SALUD PARA FORTALECER LA MEDIDAS DE PREVENCIÓN DEL CONTAGIO Y PROPAGACION DEL COVID -19 EN CUMPLIMIENTO DEL ACUERDO PCSJA20-11567 DEL CONSEJO SUPERIOR DE LA JUDICATURA , EN LAS SEDE JUDICIALES EN EL MUNICIPIO DE PUEBLO RICO"/>
    <n v="1"/>
    <s v="VALOR MENSUAL POR PERSONA"/>
    <n v="1400000"/>
    <n v="0"/>
    <n v="5600000"/>
    <x v="6"/>
  </r>
  <r>
    <x v="14"/>
    <s v="CD-SO-29-2020"/>
    <s v="CONTRATAR EN NOMBRE DE LA NACIÓN – CONSEJO SUPERIOR DE LA JUDICATURA, LA PRESTACIÓN DEL SERVICIO DE VIGÍA EN SALUD PARA FORTALECER LA MEDIDAS DE PREVENCIÓN DEL CONTAGIO Y PROPAGACION DEL COVID -19 EN CUMPLIMIENTO DEL ACUERDO PCSJA20-11567 DEL CONSEJO SUPERIOR DE LA JUDICATURA , EN LAS SEDE JUDICIALES EN EL MUNICIPIO DE SANTUARIO"/>
    <d v="2020-07-02T00:00:00"/>
    <d v="2020-07-08T00:00:00"/>
    <n v="5600000"/>
    <n v="0"/>
    <s v="DANIELA ARREDONDO MEJIA"/>
    <n v="1007220451"/>
    <s v="CONTRATAR EN NOMBRE DE LA NACIÓN – CONSEJO SUPERIOR DE LA JUDICATURA, LA PRESTACIÓN DEL SERVICIO DE VIGÍA EN SALUD PARA FORTALECER LA MEDIDAS DE PREVENCIÓN DEL CONTAGIO Y PROPAGACION DEL COVID -19 EN CUMPLIMIENTO DEL ACUERDO PCSJA20-11567 DEL CONSEJO SUPERIOR DE LA JUDICATURA , EN LAS SEDE JUDICIALES EN EL MUNICIPIO DE SANTUARIO"/>
    <n v="1"/>
    <s v="VALOR MENSUAL POR PERSONA"/>
    <n v="1400000"/>
    <n v="0"/>
    <n v="5600000"/>
    <x v="6"/>
  </r>
  <r>
    <x v="14"/>
    <s v="CD-SO-30-2020"/>
    <s v="CONTRATAR EN NOMBRE DE LA NACIÓN – CONSEJO SUPERIOR DE LA JUDICATURA, LA PRESTACIÓN DEL SERVICIO DE VIGÍA EN SALUD PARA FORTALECER LA MEDIDAS DE PREVENCIÓN DEL CONTAGIO Y PROPAGACION DEL COVID -19 EN CUMPLIMIENTO DEL ACUERDO PCSJA20-11567 DEL CONSEJO SUPERIOR DE LA JUDICATURA , EN LAS SEDE JUDICIALES EN EL MUNICIPIO DE BELÉN DE UMBRÍA"/>
    <d v="2020-07-02T00:00:00"/>
    <d v="2020-07-09T00:00:00"/>
    <n v="5600000"/>
    <n v="0"/>
    <s v="YENIFER JIMENEZ MONTOYA"/>
    <n v="1087488224"/>
    <s v="CONTRATAR EN NOMBRE DE LA NACIÓN – CONSEJO SUPERIOR DE LA JUDICATURA, LA PRESTACIÓN DEL SERVICIO DE VIGÍA EN SALUD PARA FORTALECER LA MEDIDAS DE PREVENCIÓN DEL CONTAGIO Y PROPAGACION DEL COVID -19 EN CUMPLIMIENTO DEL ACUERDO PCSJA20-11567 DEL CONSEJO SUPERIOR DE LA JUDICATURA , EN LAS SEDE JUDICIALES EN EL MUNICIPIO DE BELÉN DE UMBRÍA"/>
    <n v="1"/>
    <s v="VALOR MENSUAL POR PERSONA"/>
    <n v="1400000"/>
    <n v="0"/>
    <n v="5600000"/>
    <x v="6"/>
  </r>
  <r>
    <x v="14"/>
    <s v="CD SO 32 DE 2020"/>
    <s v="CONTRATAR EN NOMBRE DE LA NACIÓN – CONSEJO SUPERIOR DE LA JUDICATURA, LA PRESTACIÓN DEL SERVICIO DE VIGÍA EN SALUD PARA FORTALECER LA MEDIDAS DE PREVENCIÓN DEL CONTAGIO Y PROPAGACION DEL COVID -19 EN CUMPLIMIENTO DE LOS ACUERDOS PCSJA20-11567 Y PCSJA20-11632 DEL CONSEJO SUPERIOR DE LA JUDICATURA, EN LAS SEDES JUDICIALES DEL MUNICIPIO DE PEREIRA"/>
    <d v="2020-11-05T00:00:00"/>
    <d v="2020-11-06T00:00:00"/>
    <n v="2566667"/>
    <n v="0"/>
    <s v=" CLAUDIA LORENA GIRALDO ORREGO"/>
    <n v="1114208285"/>
    <s v="CONTRATAR EN NOMBRE DE LA NACIÓN – CONSEJO SUPERIOR DE LA JUDICATURA, LA PRESTACIÓN DEL SERVICIO DE VIGÍA EN SALUD PARA FORTALECER LA MEDIDAS DE PREVENCIÓN DEL CONTAGIO Y PROPAGACION DEL COVID -19 EN CUMPLIMIENTO DE LOS ACUERDOS PCSJA20-11567 Y PCSJA20-11632 DEL CONSEJO SUPERIOR DE LA JUDICATURA, EN LAS SEDES JUDICIALES DEL MUNICIPIO DE PEREIRA"/>
    <n v="2"/>
    <s v="VALOR MENSUAL POR PERSONA"/>
    <n v="1283334"/>
    <n v="0"/>
    <n v="2566668"/>
    <x v="6"/>
  </r>
  <r>
    <x v="14"/>
    <s v="CD SO 33 DE 2020"/>
    <s v="CONTRATAR EN NOMBRE DE LA NACIÓN – CONSEJO SUPERIOR DE LA JUDICATURA, LA PRESTACIÓN DEL SERVICIO DE VIGÍA EN SALUD PARA FORTALECER LA MEDIDAS DE PREVENCIÓN DEL CONTAGIO Y PROPAGACION DEL COVID -19 EN CUMPLIMIENTO DE LOS ACUERDOS PCSJA20-11567 Y PCSJA20-11632 DEL CONSEJO SUPERIOR DE LA JUDICATURA, EN LAS SEDES JUDICIALES DEL MUNICIPIO DE PEREIRA"/>
    <d v="2020-10-30T00:00:00"/>
    <d v="2020-11-06T00:00:00"/>
    <n v="2566667"/>
    <n v="0"/>
    <s v="DANIEL ANDRES MEJIA AVENDAÑO"/>
    <n v="1037613273"/>
    <s v="CONTRATAR EN NOMBRE DE LA NACIÓN – CONSEJO SUPERIOR DE LA JUDICATURA, LA PRESTACIÓN DEL SERVICIO DE VIGÍA EN SALUD PARA FORTALECER LA MEDIDAS DE PREVENCIÓN DEL CONTAGIO Y PROPAGACION DEL COVID -19 EN CUMPLIMIENTO DE LOS ACUERDOS PCSJA20-11567 Y PCSJA20-11632 DEL CONSEJO SUPERIOR DE LA JUDICATURA, EN LAS SEDES JUDICIALES DEL MUNICIPIO DE PEREIRA"/>
    <n v="2"/>
    <s v="VALOR MENSUAL POR PERSONA"/>
    <n v="1283334"/>
    <n v="0"/>
    <n v="2566668"/>
    <x v="6"/>
  </r>
  <r>
    <x v="14"/>
    <s v="MC 29 DE 2020"/>
    <s v=" ADQUISICIÓN DE SIETE (7) DESFIBRILADORES EXTERNOS AUTOMÁTICOS (DEA) REANIMADOR CARDIOPULMONAR, INCLUYE ELEMENTOS COMPLEMENTARIOS, CAPACITACIÓN E INSTALACIÓN, CON EL FIN DE ACTUAR COMO PRIMER RESPONDIENTE ANTE EMERGENCIAS PRESENTADAS EN LAS SEDES JUDICIALES DEL DISTRITO JUDICIAL PEREIRA – RISARALDA"/>
    <d v="2020-12-23T00:00:00"/>
    <d v="2020-12-23T00:00:00"/>
    <n v="42267750"/>
    <n v="6038250"/>
    <s v="INGENIERIA HOSPITALARIA S.A.S"/>
    <n v="811044610"/>
    <s v="ADQUISICIÓN DE SIETE (7) DESFIBRILADORES EXTERNOS AUTOMÁTICOS (DEA) REANIMADOR CARDIOPULMONAR, INCLUYE ELEMENTOS COMPLEMENTARIOS, CAPACITACIÓN E INSTALACIÓN, CON EL FIN DE ACTUAR COMO PRIMER RESPONDIENTE ANTE EMERGENCIAS PRESENTADAS EN LAS SEDES JUDICIALES DEL DISTRITO JUDICIAL PEREIRA – RISARALDA"/>
    <n v="8"/>
    <s v="UNIDAD"/>
    <n v="6038250"/>
    <n v="0"/>
    <n v="48306000"/>
    <x v="53"/>
  </r>
  <r>
    <x v="14"/>
    <n v="49697"/>
    <s v="LAVAMANOS AUTONOMO ACERO INOXIDABLE"/>
    <d v="2020-06-02T00:00:00"/>
    <d v="2020-06-02T00:00:00"/>
    <n v="59664948"/>
    <n v="0"/>
    <s v="COLOMBIANA DE COMERCIO S.A Y/O ALKOSTO S.A"/>
    <n v="890900943"/>
    <s v="LAVAMANOS AUTONOMO ACERO INOXIDABLE"/>
    <n v="42"/>
    <s v="UNIDAD"/>
    <n v="1420594"/>
    <n v="0"/>
    <n v="59664948"/>
    <x v="9"/>
  </r>
  <r>
    <x v="15"/>
    <s v="´19"/>
    <s v="CONTRATAR A NOMBRE DE LA NACION - CONSEJO SUPERIOR DE LA JUDICATURA - DIRECCION SECCIONAL DE ADMINISTRACION JUDICIAL DE POPAYAN, LA PRESTACION DE SERVICIOS DE PERSONAL DE APOYO PARA EL FORTALECIMIENTO DE LAS MEDIDAS DE PREVENCION DEL CONTAGIO Y LA PROPAGACION DEL COVID - 19, ENCARGADOS DE LA TOMA DE TEMPERATURA CORPORAL, VERIFICACION DE SINTOMAS, ADEMAS DE VELAR POR EL CUMPLIMIENTO DE LOS PROTOCOLOS DE BIOSEGURIDAD DEFINIDOS POR LA ENTIDAD, EN LAS SEDES DE MAYOR INFLUENCIA EN EL DISTRITO JUDICIAL DE POPAYAN."/>
    <d v="2020-06-12T00:00:00"/>
    <d v="2020-06-17T00:00:00"/>
    <n v="32430000"/>
    <n v="0"/>
    <s v="CRUZ ROJA COLOMBIANA SECCIONAL CAUCA"/>
    <n v="891500595"/>
    <s v="CONTRATACION DE PERSONAL DE APOYO PARA LA PREVENCION DEL CONTAGIO Y LA PROPAGACION DEL COVID-19"/>
    <n v="15"/>
    <s v="VALOR MENSUAL POR PERSONA"/>
    <n v="2162000"/>
    <n v="0"/>
    <n v="32430000"/>
    <x v="6"/>
  </r>
  <r>
    <x v="15"/>
    <s v="´20"/>
    <s v="CONTRATAR A NOMBRE DE LA NACION - CONSEJO SUPERIOR DE LA JUDICATURA - DIRECCION SECCIONAL DE ADMINISTRACION JUDICIAL DE POPAYAN, LA ADQUISICION  DE DIADEMAS Y CAMARAS WEB PARA LOS DESPACHOS JUDICIALES Y TRIBUNALES DEL DISTRITO JUDICIAL DE POPAYAN."/>
    <d v="2020-06-12T00:00:00"/>
    <d v="2020-06-12T00:00:00"/>
    <n v="45932000"/>
    <n v="0"/>
    <s v="JOSE ARLES CAMACHO VIVEROS"/>
    <n v="1083893865"/>
    <s v="DIADEMAS INHALAMBRICA VIDVIE"/>
    <n v="119"/>
    <s v="UNIDAD"/>
    <n v="124369.74789915967"/>
    <n v="23630.252100840338"/>
    <n v="17612000"/>
    <x v="19"/>
  </r>
  <r>
    <x v="15"/>
    <s v="´20"/>
    <s v="CONTRATAR A NOMBRE DE LA NACION - CONSEJO SUPERIOR DE LA JUDICATURA - DIRECCION SECCIONAL DE ADMINISTRACION JUDICIAL DE POPAYAN, LA ADQUISICION  DE DIADEMAS Y CAMARAS WEB PARA LOS DESPACHOS JUDICIALES Y TRIBUNALES DEL DISTRITO JUDICIAL DE POPAYAN."/>
    <d v="2020-06-12T00:00:00"/>
    <d v="2020-06-12T00:00:00"/>
    <n v="45932000"/>
    <n v="0"/>
    <s v="JOSE ARLES CAMACHO VIVEROS"/>
    <n v="1083893865"/>
    <s v="WEB CAM HD1080 P"/>
    <n v="118"/>
    <s v="UNIDAD"/>
    <n v="201680.67226890757"/>
    <n v="38319.327731092439"/>
    <n v="28320000"/>
    <x v="18"/>
  </r>
  <r>
    <x v="15"/>
    <s v="´21"/>
    <s v="CONTRATAR EN NOMBRE DE LA NACIÓN – CONSEJO SUPERIOR DE LA JUDICATURA – DIRECCIÓN EJECUTIVA SECCIONAL DE ADMINISTRACIÓN JUDICIAL DE POPAYÁN, LA ADQUISICIÓN O COMPRA DE OCHENTA (80) TAPETES DESINFECTANTES DE SUELAS DE ZAPATOS PARA DE LIMPIEZA Y/O DESINFECCIÓN Y OCHENTA (80) GALONES DE AMONIO CUATERNARIO QUE AYUDE A MITIGAR LA TRANSMISIÓN DE AGENTES INFECCIOSOS Y DE DISMINUIR LA PROBABILIDAD DE CONTAMINACIÓN CRUZADA, CON EL FIN DE FORTALECER LAS MEDIDAS DE PREVENCIÓN DEL CONTAGIO Y DE LA PROPAGACIÓN DEL COVID -19, CON LO QUE ADEMÁS SE PROPENDE POR EL CUMPLIMIENTO DE LOS PROTOCOLOS DE BIOSEGURIDAD DEFINIDOS POR LA ENTIDAD, EN LAS SEDES JUDICIALES."/>
    <d v="2020-06-23T00:00:00"/>
    <d v="2020-06-23T00:00:00"/>
    <n v="7000000"/>
    <n v="0"/>
    <s v="OCUPA SOLUCIONES S.A.S"/>
    <n v="800165853"/>
    <s v="TAPETE DESINFECTANTE"/>
    <n v="80"/>
    <s v="UNIDAD"/>
    <n v="40500"/>
    <n v="0"/>
    <n v="3240000"/>
    <x v="35"/>
  </r>
  <r>
    <x v="15"/>
    <s v="´21"/>
    <s v="CONTRATAR EN NOMBRE DE LA NACIÓN – CONSEJO SUPERIOR DE LA JUDICATURA – DIRECCIÓN EJECUTIVA SECCIONAL DE ADMINISTRACIÓN JUDICIAL DE POPAYÁN, LA ADQUISICIÓN O COMPRA DE OCHENTA (80) TAPETES DESINFECTANTES DE SUELAS DE ZAPATOS PARA DE LIMPIEZA Y/O DESINFECCIÓN Y OCHENTA (80) GALONES DE AMONIO CUATERNARIO QUE AYUDE A MITIGAR LA TRANSMISIÓN DE AGENTES INFECCIOSOS Y DE DISMINUIR LA PROBABILIDAD DE CONTAMINACIÓN CRUZADA, CON EL FIN DE FORTALECER LAS MEDIDAS DE PREVENCIÓN DEL CONTAGIO Y DE LA PROPAGACIÓN DEL COVID -19, CON LO QUE ADEMÁS SE PROPENDE POR EL CUMPLIMIENTO DE LOS PROTOCOLOS DE BIOSEGURIDAD DEFINIDOS POR LA ENTIDAD, EN LAS SEDES JUDICIALES."/>
    <d v="2020-06-23T00:00:00"/>
    <d v="2020-06-23T00:00:00"/>
    <n v="7000000"/>
    <n v="0"/>
    <s v="OCUPA SOLUCIONES S.A.S"/>
    <n v="800165853"/>
    <s v="AMONIO CUATERNARIO"/>
    <n v="800"/>
    <s v="LITROS"/>
    <n v="4700"/>
    <n v="0"/>
    <n v="3760000"/>
    <x v="42"/>
  </r>
  <r>
    <x v="15"/>
    <s v="´22"/>
    <s v="CONTRATAR EN NOMBRE DE LA NACIÓN – CONSEJO SUPERIOR DE LA JUDICATURA – DIRECCIÓN EJECUTIVA SECCIONAL DE ADMINISTRACIÓN JUDICIAL DE POPAYÁN, LA ADQUISICIÓN O COMPRA DE DOSCIENTAS (200) DIVISIONES METÁLICAS CON ACRÍLICO TRASLUCIDO CON EXCELENTES ACABADOS CON EL PROPÓSITO DE FACILITAR EL AISLAMIENTO DE LOS USUARIOS DE LA JUSTICIA Y LOS SERVIDORES JUDICIALES, QUE AYUDE A DISMINUIR LA PROBABILIDAD DE CONTAMINACIÓN Y DE CREAR UNA BARRERA DE PROTECCIÓN PARA QUIENES ATIENDEN PÚBLICO."/>
    <d v="2020-06-23T00:00:00"/>
    <d v="2020-06-23T00:00:00"/>
    <n v="32130000"/>
    <n v="0"/>
    <s v="JOHN ALEJANDRO FRANCO OTERO"/>
    <n v="79391917"/>
    <s v="DIVISION METALICA CON ACRILICO TRASLUCIDA"/>
    <n v="200"/>
    <s v="UNIDAD"/>
    <n v="135000"/>
    <n v="25650"/>
    <n v="32130000"/>
    <x v="13"/>
  </r>
  <r>
    <x v="15"/>
    <s v="´23"/>
    <s v="CONTRATAR A NOMBRE DE LA NACION - CONSEJO SUPERIOR DE LA JUDICATURA - DIRECCION SECCIONAL DE ADMINISTRACION JUDICIAL DE POPAYAN, LA ADQUISICION  DE SEÑALETICA PARA LA ADECUADA INFORMACION PARA LA PREVENCION DEL RIESGO DE CONTAGIO DEL COVID-19 Y DEL PROTOCOLO DE ACCESO A LOS INMUEBLES DEL DISTRITO JUDICIAL DE POPAYAN."/>
    <d v="2020-06-19T00:00:00"/>
    <d v="2020-06-19T00:00:00"/>
    <n v="1515800"/>
    <n v="0"/>
    <s v="BAYRON MARCELO AREVALO MUÑOZ"/>
    <n v="76318532"/>
    <s v="TABLOIDE PROPALCOTE DE 320 GR.FULL COLOR DE 33CMS X 47CM 332"/>
    <n v="332"/>
    <s v="UNIDAD"/>
    <n v="1400"/>
    <n v="0"/>
    <n v="464800"/>
    <x v="33"/>
  </r>
  <r>
    <x v="15"/>
    <s v="´23"/>
    <s v="CONTRATAR A NOMBRE DE LA NACION - CONSEJO SUPERIOR DE LA JUDICATURA - DIRECCION SECCIONAL DE ADMINISTRACION JUDICIAL DE POPAYAN, LA ADQUISICION  DE SEÑALETICA PARA LA ADECUADA INFORMACION PARA LA PREVENCION DEL RIESGO DE CONTAGIO DEL COVID-19 Y DEL PROTOCOLO DE ACCESO A LOS INMUEBLES DEL DISTRITO JUDICIAL DE POPAYAN."/>
    <d v="2020-06-19T00:00:00"/>
    <d v="2020-06-19T00:00:00"/>
    <n v="1515800"/>
    <n v="0"/>
    <s v="BAYRON MARCELO AREVALO MUÑOZ"/>
    <n v="76318532"/>
    <s v="VINILOS ADHESIVOS FULL IMPRESIÓN 21CMX16CM 106"/>
    <n v="106"/>
    <s v="UNIDAD"/>
    <n v="1896.2264150943399"/>
    <n v="0"/>
    <n v="201000.00000000003"/>
    <x v="33"/>
  </r>
  <r>
    <x v="15"/>
    <s v="´23"/>
    <s v="CONTRATAR A NOMBRE DE LA NACION - CONSEJO SUPERIOR DE LA JUDICATURA - DIRECCION SECCIONAL DE ADMINISTRACION JUDICIAL DE POPAYAN, LA ADQUISICION  DE SEÑALETICA PARA LA ADECUADA INFORMACION PARA LA PREVENCION DEL RIESGO DE CONTAGIO DEL COVID-19 Y DEL PROTOCOLO DE ACCESO A LOS INMUEBLES DEL DISTRITO JUDICIAL DE POPAYAN."/>
    <d v="2020-06-19T00:00:00"/>
    <d v="2020-06-19T00:00:00"/>
    <n v="1515800"/>
    <n v="0"/>
    <s v="BAYRON MARCELO AREVALO MUÑOZ"/>
    <n v="76318532"/>
    <s v="VINILO ADHESIVO CON PROTECCIÓN EN FLOORGRAPHIC MEDIDAS 5CMS X 47CMS 500"/>
    <n v="500"/>
    <s v="UNIDAD"/>
    <n v="1700"/>
    <n v="0"/>
    <n v="850000"/>
    <x v="33"/>
  </r>
  <r>
    <x v="15"/>
    <s v="´01"/>
    <s v="CONTRATAR LA ADQUISICIÓN DE ELEMENTOS PARA LA PREVENCIÓN DE LA PROPAGACIÓN DEL VIRUS COVID-19."/>
    <d v="2020-03-27T00:00:00"/>
    <d v="2020-03-20T00:00:00"/>
    <n v="1911550"/>
    <n v="0"/>
    <s v="INFOSUR LTDA"/>
    <n v="12109146"/>
    <s v="JABON LIQUIDO MANOS ANT "/>
    <n v="36"/>
    <s v="LITRO"/>
    <n v="6638.6554621848745"/>
    <n v="1261.3445378151262"/>
    <n v="284400.00000000006"/>
    <x v="5"/>
  </r>
  <r>
    <x v="15"/>
    <s v="´01"/>
    <s v="CONTRATAR LA ADQUISICIÓN DE ELEMENTOS PARA LA PREVENCIÓN DE LA PROPAGACIÓN DEL VIRUS COVID-19."/>
    <d v="2020-03-27T00:00:00"/>
    <d v="2020-03-20T00:00:00"/>
    <n v="1911550"/>
    <n v="0"/>
    <s v="INFOSUR LTDA"/>
    <n v="12109146"/>
    <s v="DISPENSADOR PARA JABON DE MANOS"/>
    <n v="3"/>
    <s v="UNIDAD"/>
    <n v="62899.159663865546"/>
    <n v="11950.840336134454"/>
    <n v="224550"/>
    <x v="12"/>
  </r>
  <r>
    <x v="15"/>
    <s v="´01"/>
    <s v="CONTRATAR LA ADQUISICIÓN DE ELEMENTOS PARA LA PREVENCIÓN DE LA PROPAGACIÓN DEL VIRUS COVID-19."/>
    <d v="2020-03-27T00:00:00"/>
    <d v="2020-03-20T00:00:00"/>
    <n v="1911550"/>
    <n v="0"/>
    <s v="INFOSUR LTDA"/>
    <n v="12109146"/>
    <s v="JABON ESPUMA GOLO "/>
    <n v="3"/>
    <s v="LITRO"/>
    <n v="41176.470588235294"/>
    <n v="7823.5294117647063"/>
    <n v="147000"/>
    <x v="5"/>
  </r>
  <r>
    <x v="15"/>
    <s v="´01"/>
    <s v="CONTRATAR LA ADQUISICIÓN DE ELEMENTOS PARA LA PREVENCIÓN DE LA PROPAGACIÓN DEL VIRUS COVID-19."/>
    <d v="2020-03-27T00:00:00"/>
    <d v="2020-03-20T00:00:00"/>
    <n v="1911550"/>
    <n v="0"/>
    <s v="INFOSUR LTDA"/>
    <n v="12109146"/>
    <s v="GUANTES PROTEX LATEX EXAMEN T/M100"/>
    <n v="50"/>
    <s v="CAJA X 100"/>
    <n v="15966.6"/>
    <n v="3033.654"/>
    <n v="950012.70000000007"/>
    <x v="24"/>
  </r>
  <r>
    <x v="15"/>
    <s v="´01"/>
    <s v="CONTRATAR LA ADQUISICIÓN DE ELEMENTOS PARA LA PREVENCIÓN DE LA PROPAGACIÓN DEL VIRUS COVID-19."/>
    <d v="2020-03-27T00:00:00"/>
    <d v="2020-03-20T00:00:00"/>
    <n v="1911550"/>
    <n v="0"/>
    <s v="INFOSUR LTDA"/>
    <n v="12109146"/>
    <s v="GUANTES PROTEX LATEX EXAMEN T/L"/>
    <n v="10"/>
    <s v="CAJA X 100"/>
    <n v="15966.6"/>
    <n v="3033.654"/>
    <n v="190002.54"/>
    <x v="24"/>
  </r>
  <r>
    <x v="15"/>
    <s v="´01"/>
    <s v="CONTRATAR LA ADQUISICIÓN DE ELEMENTOS PARA LA PREVENCIÓN DE LA PROPAGACIÓN DEL VIRUS COVID-19."/>
    <d v="2020-03-27T00:00:00"/>
    <d v="2020-03-20T00:00:00"/>
    <n v="1911550"/>
    <n v="0"/>
    <s v="INFOSUR LTDA"/>
    <n v="12109146"/>
    <s v="JABON BACTISAN SCOTT SPRAY "/>
    <n v="8"/>
    <s v="LITRO"/>
    <n v="12142.85714285715"/>
    <n v="2307.1428571428587"/>
    <n v="115600.00000000007"/>
    <x v="5"/>
  </r>
  <r>
    <x v="15"/>
    <s v="´02"/>
    <s v="CONTRATAR LA ADQUISICIÓN DE ELEMENTOS PARA LA PREVENCIÓN DE LA PROPAGACIÓN DEL VIRUS COVID-19 (TAPABOCAS Y GUANTES)"/>
    <d v="2020-03-27T00:00:00"/>
    <d v="2020-03-27T00:00:00"/>
    <n v="1832949"/>
    <n v="0"/>
    <s v="GRUPO UNIVERSALES PROVEEDORES INTEGRALES S.A.S."/>
    <n v="815004985"/>
    <s v="GUANTES LATEX C X 100 UND T XS"/>
    <n v="21"/>
    <s v="CAJA X 100"/>
    <n v="20276"/>
    <n v="0"/>
    <n v="425796"/>
    <x v="24"/>
  </r>
  <r>
    <x v="15"/>
    <s v="´02"/>
    <s v="CONTRATAR LA ADQUISICIÓN DE ELEMENTOS PARA LA PREVENCIÓN DE LA PROPAGACIÓN DEL VIRUS COVID-19 (TAPABOCAS Y GUANTES)"/>
    <d v="2020-03-27T00:00:00"/>
    <d v="2020-03-27T00:00:00"/>
    <n v="1832949"/>
    <n v="0"/>
    <s v="GRUPO UNIVERSALES PROVEEDORES INTEGRALES S.A.S."/>
    <n v="815004985"/>
    <s v="GUANTES LATEX C X 100 UND T S"/>
    <n v="19"/>
    <s v="CAJA X 100"/>
    <n v="20276"/>
    <n v="0"/>
    <n v="385244"/>
    <x v="24"/>
  </r>
  <r>
    <x v="15"/>
    <s v="´02"/>
    <s v="CONTRATAR LA ADQUISICIÓN DE ELEMENTOS PARA LA PREVENCIÓN DE LA PROPAGACIÓN DEL VIRUS COVID-19 (TAPABOCAS Y GUANTES)"/>
    <d v="2020-03-27T00:00:00"/>
    <d v="2020-03-27T00:00:00"/>
    <n v="1832949"/>
    <n v="0"/>
    <s v="GRUPO UNIVERSALES PROVEEDORES INTEGRALES S.A.S."/>
    <n v="815004985"/>
    <s v="TAPABOCA DESECHABLE RESORTADO"/>
    <n v="1000"/>
    <s v="UNIDAD"/>
    <n v="1021.901"/>
    <n v="0"/>
    <n v="1021901"/>
    <x v="3"/>
  </r>
  <r>
    <x v="15"/>
    <s v="´04"/>
    <s v="CONTRATAR LA ADQUISICIÓN DE ELEMENTOS PARA LA PREVENCIÓN DE LA PROPAGACIÓN DEL VIRUS COVID-19 GEL ANTIBACTERIAL"/>
    <d v="2020-04-02T00:00:00"/>
    <d v="2020-04-03T00:00:00"/>
    <n v="3441440"/>
    <n v="0"/>
    <s v="GRUPO UNIVERSALES PROVEEDORES INTEGRALES S.A.S."/>
    <n v="815004985"/>
    <s v="GEL ANTIBACTERIAL "/>
    <n v="80"/>
    <s v="LITRO"/>
    <n v="43018"/>
    <n v="0"/>
    <n v="3441440"/>
    <x v="4"/>
  </r>
  <r>
    <x v="15"/>
    <s v="´05"/>
    <s v="CONTRATAR LA ADQUISICIÓN DE ELEMENTOS PARA LA PREVENCIÓN DE LA PROPAGACIÓN DEL VIRUS COVID-19 (TAPABOCAS Y GUANTES)"/>
    <d v="2020-04-03T00:00:00"/>
    <d v="2020-04-04T00:00:00"/>
    <n v="3050000"/>
    <n v="0"/>
    <s v="GRUPO EMPRESARIAL VID S.A.S."/>
    <n v="901285199"/>
    <s v="TRAJE TIPO TYBEK BLANCO"/>
    <n v="100"/>
    <s v="UNIDAD"/>
    <n v="15126"/>
    <n v="2873.94"/>
    <n v="1799993.9999999998"/>
    <x v="0"/>
  </r>
  <r>
    <x v="15"/>
    <s v="´05"/>
    <s v="CONTRATAR LA ADQUISICIÓN DE ELEMENTOS PARA LA PREVENCIÓN DE LA PROPAGACIÓN DEL VIRUS COVID-19 (TAPABOCAS Y GUANTES)"/>
    <d v="2020-04-03T00:00:00"/>
    <d v="2020-04-04T00:00:00"/>
    <n v="3050000"/>
    <n v="0"/>
    <s v="GRUPO EMPRESARIAL VID S.A.S."/>
    <n v="901285199"/>
    <s v="GAFA CLARA SENCILLA"/>
    <n v="100"/>
    <s v="UNIDAD"/>
    <n v="10504"/>
    <n v="1995.76"/>
    <n v="1249976"/>
    <x v="2"/>
  </r>
  <r>
    <x v="15"/>
    <s v="O.C. 46250"/>
    <s v="ESTUDIOS Y DOCUMENTOS PREVIOS PARA LA ADQUISICIÓN DE TOALLAS DE PAPEL PARA MANOS, CON DESTINO A LOS FUNCIONARIOS Y EMPLEADOS DE LAS CORPORACIONES Y DESPACHOS JUDICIALES DEL DEPARTAMENTO DEL CAUCA, EN ATENCIÓN Y APLICACIÓN DE LOS LINEAMIENTOS EMITIDOS POR EL MINISTERIO DE TRABAJO EN LA CIRCULAR NO. 0017 DE FECHA 24 DE FEBRERO DE 2020 – COVID-19."/>
    <d v="2020-03-27T00:00:00"/>
    <d v="2020-03-27T00:00:00"/>
    <n v="4307800"/>
    <n v="0"/>
    <s v="PANAMERICANA LIBRERÍA Y PAPELERIA"/>
    <n v="830037946"/>
    <s v="TOALLA PARA MANOS NATURAL X 100 MT"/>
    <n v="200"/>
    <s v="ROLLO"/>
    <n v="21539"/>
    <n v="0"/>
    <n v="4307800"/>
    <x v="8"/>
  </r>
  <r>
    <x v="15"/>
    <s v="´06"/>
    <s v="CONTRATAR LA ADQUISICIÓN DE ELEMENTOS PARA LA PREVENCIÓN DE LA PROPAGACIÓN DEL VIRUS COVID-19 (GEL ANTIBACTERIAL Y GUANTES)"/>
    <d v="2020-04-20T00:00:00"/>
    <d v="2020-04-21T00:00:00"/>
    <n v="7770000"/>
    <n v="0"/>
    <s v="GRUPO EMPRESARIAL VID S.A.S."/>
    <n v="901285199"/>
    <s v="GEL 1L"/>
    <n v="400"/>
    <s v="LITRO"/>
    <n v="18000"/>
    <n v="0"/>
    <n v="7200000"/>
    <x v="4"/>
  </r>
  <r>
    <x v="15"/>
    <s v="´06"/>
    <s v="CONTRATAR LA ADQUISICIÓN DE ELEMENTOS PARA LA PREVENCIÓN DE LA PROPAGACIÓN DEL VIRUS COVID-19 (GEL ANTIBACTERIAL Y GUANTES)"/>
    <d v="2020-04-20T00:00:00"/>
    <d v="2020-04-21T00:00:00"/>
    <n v="7770000"/>
    <n v="0"/>
    <s v="GRUPO EMPRESARIAL VID S.A.S."/>
    <n v="901285199"/>
    <s v="CAJA DE GUANTES LATEX X 100 UND"/>
    <n v="30"/>
    <s v="CAJA X 100"/>
    <n v="19000"/>
    <n v="0"/>
    <n v="570000"/>
    <x v="24"/>
  </r>
  <r>
    <x v="15"/>
    <s v="´07"/>
    <s v="CONTRATAR LA ADQUISICIÓN DE ELEMENTOS PARA LA PREVENCIÓN DE LA PROPAGACIÓN DEL VIRUS COVID-19 (TAPABOCAS)"/>
    <d v="2020-04-23T00:00:00"/>
    <d v="2020-04-24T00:00:00"/>
    <n v="2000000"/>
    <n v="0"/>
    <s v="GRUPO UNIVERSALES PROVEEDORES INTEGRALES S.A.S."/>
    <n v="815004985"/>
    <s v="TAPABOCAS DESECHABLES UNIVERSALES"/>
    <n v="2000"/>
    <s v="UNIDAD"/>
    <n v="1000"/>
    <n v="0"/>
    <n v="2000000"/>
    <x v="3"/>
  </r>
  <r>
    <x v="15"/>
    <s v="´13"/>
    <s v="CONTRATAR LA ADQUISICIÓN DE ELEMENTOS PARA LA PREVENCIÓN DE LA PROPAGACIÓN DEL VIRUS COVID-19. (TAPABOCAS OXINDUSTRIAL)"/>
    <d v="2020-05-18T00:00:00"/>
    <d v="2020-04-21T00:00:00"/>
    <n v="2682000"/>
    <n v="0"/>
    <s v="GRUPO EMPRESARIAL VID S.A.S"/>
    <n v="901285199"/>
    <s v="RESPIRADOR DE TELA ECONOMICO NEGRO /AZUL/BLANCO"/>
    <n v="1490"/>
    <s v="UNIDAD"/>
    <n v="1800"/>
    <n v="0"/>
    <n v="2682000"/>
    <x v="3"/>
  </r>
  <r>
    <x v="15"/>
    <s v="´15"/>
    <s v="REPARACION DEL SISTEMA DE BOMBEO DE AGUA Y EL MANTENIMIENTO DE ALGUNOS APARATOS SANITARIOS EN EL PALACIO DE JUSTICIA DEL DORDO CAUCA, A TODO COSTO"/>
    <d v="2020-05-20T00:00:00"/>
    <d v="2020-04-24T00:00:00"/>
    <n v="4086300"/>
    <n v="0"/>
    <s v="HERNAN OBANDO"/>
    <n v="76264578"/>
    <s v="REPARACIÓN  DEL  SISTEMA  DE  BOMBEO  DE  AGUA  Y  EL MANTENIMIENTODE ALGUNOS APARATOS SANITARIOS EN EL PALACIO DE JUSTICIA DE EL BORDO"/>
    <n v="1"/>
    <s v="UNIDAD"/>
    <n v="4086300"/>
    <n v="0"/>
    <n v="4086300"/>
    <x v="25"/>
  </r>
  <r>
    <x v="15"/>
    <s v="48786"/>
    <s v="CONTRATAR LA ADQUISICIÓN DE ELEMENTOS DE PROTECCIÓN PERSONAL PARA LA PREVENCIÓN DE LA PROPAGACIÓN DEL VIRUS COVID 19 - TAPABOCAS DOBLETELA REUTILIZABLES."/>
    <d v="2020-05-19T00:00:00"/>
    <d v="2020-05-19T00:00:00"/>
    <n v="8900000"/>
    <n v="3800000"/>
    <s v="M.A.S EMPRESARIAL SM S.A.S"/>
    <n v="900401081"/>
    <s v="TAPABOCAS DOBLETELA REUTILIZABLES"/>
    <n v="12700"/>
    <s v="UNIDAD"/>
    <n v="1000"/>
    <n v="0"/>
    <n v="12700000"/>
    <x v="3"/>
  </r>
  <r>
    <x v="15"/>
    <s v="48800"/>
    <s v="CONTRATAR LA ADQUISICIÓN DE ELEMENTOS DE PROTECCIÓN PERSONAL PARA LA PREVENCIÓN DE LA PROPAGACIÓN DEL VIRUS COVID 19. GUANTES DE NITRILO"/>
    <d v="2020-05-20T00:00:00"/>
    <d v="2020-05-20T00:00:00"/>
    <n v="11737650"/>
    <n v="0"/>
    <s v="OFIBEST SAS"/>
    <n v="900350133"/>
    <s v="GUANTES DE NITRILO"/>
    <n v="199"/>
    <s v="CAJA X 100"/>
    <n v="58983.165829145699"/>
    <n v="0"/>
    <n v="11737649.999999994"/>
    <x v="10"/>
  </r>
  <r>
    <x v="15"/>
    <s v="49008"/>
    <s v="CONTRATAR LA ADQUISICIÓN DE ELEMENTOS DE PROTECCIÓN PERSONAL PARA LA PREVENCIÓN DE LA PROPAGACIÓN DEL VIRUS COVID 19. JABON PARA MANOS"/>
    <d v="2020-05-22T00:00:00"/>
    <d v="2020-05-22T00:00:00"/>
    <n v="4484000"/>
    <n v="0"/>
    <s v="INDUHOTEL SAS"/>
    <n v="900300970"/>
    <s v="JABON LIQUIDO PARA MANOS"/>
    <n v="318"/>
    <s v="LITRO"/>
    <n v="14100.6289308176"/>
    <n v="0"/>
    <n v="4483999.9999999972"/>
    <x v="5"/>
  </r>
  <r>
    <x v="15"/>
    <s v="49046"/>
    <s v="CONTRATAR LA ADQUISICIÓN DE ELEMENTOS DE PROTECCIÓN PERSONAL PARA LA PREVENCIÓN DE LA PROPAGACIÓN DEL VIRUS COVID 19 (GEL ANTIBACTERIAL)."/>
    <d v="2020-05-22T00:00:00"/>
    <d v="2020-05-22T00:00:00"/>
    <n v="4502668"/>
    <n v="0"/>
    <s v="TENSOACTIVOS SG SAS"/>
    <n v="805023817"/>
    <s v="GEL ANTIBACTERIAL"/>
    <n v="320"/>
    <s v="LITRO"/>
    <n v="14070.8375"/>
    <n v="0"/>
    <n v="4502668"/>
    <x v="4"/>
  </r>
  <r>
    <x v="15"/>
    <s v="49009"/>
    <s v="CONTRATAR LA ADQUISICIÓN DE ELEMENTOS DE PROTECCIÓN PERSONAL PARA LA PREVENCIÓN DE LA PROPAGACIÓN DEL VIRUS COVID 19 (TOALLAS PARA MANOS)."/>
    <d v="2020-05-22T00:00:00"/>
    <d v="2020-05-22T00:00:00"/>
    <n v="15534230"/>
    <n v="0"/>
    <s v="PMI PROYECTOS MONTAJES E INGENIERIA"/>
    <n v="900704052"/>
    <s v="TOALLAS PARA MANOS"/>
    <n v="3065"/>
    <s v="PAQUETE"/>
    <n v="5068.2642740619904"/>
    <n v="0"/>
    <n v="15534230"/>
    <x v="8"/>
  </r>
  <r>
    <x v="15"/>
    <s v="49355"/>
    <s v="ADQUISICIÓN DE ELEMENTOS DE PROTECCIÓN PERSONAL PARA LA PREVENCIÓN DE LA PROPAGACIÓN DEL VIRUS COVID 19 - TERMOMETROS DIGITALES"/>
    <d v="2020-05-28T00:00:00"/>
    <d v="2020-05-28T00:00:00"/>
    <n v="11500000"/>
    <n v="0"/>
    <s v="FALABELLA DE COLOMBIA S.A."/>
    <n v="900017447"/>
    <s v="TERMOMETROS DIGITALES INFRARROJO UNIDAD"/>
    <n v="20"/>
    <s v="UNIDAD"/>
    <n v="575000"/>
    <n v="0"/>
    <n v="11500000"/>
    <x v="22"/>
  </r>
  <r>
    <x v="15"/>
    <s v="49450"/>
    <s v="CONTRATAR LA ADQUISICIÓN DE ELEMENTOS DE PROTECCIÓN PERSONAL PARA LA PREVENCIÓN PROPAGACIÓN DEL VIRUS COVID 19 - DISPENSADORES DE GEL"/>
    <d v="2020-05-29T00:00:00"/>
    <d v="2020-05-29T00:00:00"/>
    <n v="10400000"/>
    <n v="0"/>
    <s v="CENCOSUD COLOMBIA S.A."/>
    <n v="900155107"/>
    <s v="DISPENSADORES DE GEL"/>
    <n v="80"/>
    <s v="UNIDAD"/>
    <n v="130000"/>
    <n v="0"/>
    <n v="10400000"/>
    <x v="12"/>
  </r>
  <r>
    <x v="15"/>
    <s v="49645"/>
    <s v="CONTRATAR LA ADQUISICIÓN DE ELEMENTOS DE PROTECCIÓN COVID-19 (MONOGAFAS) A TRAVÉS DE LA TIENDA VIRTUAL DEL ESTADO COLOMBIANO"/>
    <d v="2020-06-02T00:00:00"/>
    <d v="2020-06-02T00:00:00"/>
    <n v="8195650"/>
    <n v="0"/>
    <s v="CENCOSUD COLOMBIA S.A."/>
    <n v="900155107"/>
    <s v="MONOGAFAS"/>
    <n v="950"/>
    <s v="UNIDAD"/>
    <n v="8627"/>
    <n v="0"/>
    <n v="8195650"/>
    <x v="2"/>
  </r>
  <r>
    <x v="15"/>
    <s v="49646"/>
    <s v="CONTRATAR A TRAVÉS DE LA TIENDA VIRTUAL DEL ESTADO COLOMBIANOS, LA ADQUISICIÓN DE LAVAMANOS PORTÁTILES"/>
    <d v="2020-06-02T00:00:00"/>
    <d v="2020-06-02T00:00:00"/>
    <n v="7696200"/>
    <n v="0"/>
    <s v="CENCOSUD COLOMBIA S.A."/>
    <n v="900155107"/>
    <s v="LAVAMANOS PORTATILES"/>
    <n v="3"/>
    <s v="UNIDAD"/>
    <n v="2565400"/>
    <n v="0"/>
    <n v="7696200"/>
    <x v="9"/>
  </r>
  <r>
    <x v="15"/>
    <s v="50705"/>
    <s v="CONTRATAR LA ADQUISICIÓN DE ELEMENTOS DE PROTECCIÓN PERSONAL PARA LA PREVENCIÓN DE LA PROPAGACIÓN DEL VIRUS COVID 19 CON RECURSOS DE INVERSIÓN ASIGNADOS MEDIANTE ACUERDO PCSJA20-11564 DEL 04 DE JUNIO DE 2020 (TAPABOCAS DOBLE TELA LAVABLE)."/>
    <d v="2020-06-18T00:00:00"/>
    <d v="2020-06-18T00:00:00"/>
    <n v="49500001"/>
    <n v="0"/>
    <s v="M.A.S EMPRESARIAL SM S.A.S"/>
    <n v="900401081"/>
    <s v="TAPABOCAS DOBLETELA REUTILIZABLES"/>
    <n v="50000"/>
    <s v="UNIDAD"/>
    <n v="990.00001999999995"/>
    <n v="0"/>
    <n v="49500001"/>
    <x v="3"/>
  </r>
  <r>
    <x v="15"/>
    <s v="50897"/>
    <s v="PROCESO DE CONTRATACIÓN DE COMPRA DE ELEMENTOS DE PROTECCION PERSONAL PARA LA PREVENCIÓN DEL COVID-19 - CARETAS. EN CUMPLIMIENTO DE NUESTRO PLAN DE COMPRAS Y DEL PROTOCOLO DE ACCESO A SEDES - MEDIDAS COMPLEMENTARIAS PARA PREVENCIÓN DEL CONTAGIO DEL COVID-19 EN LOS SERVIDORES JUDICIALES, CONTRATISTAS DE PRESTACIÓN DE SERVICIOS Y JUDICANTES."/>
    <d v="2020-06-23T00:00:00"/>
    <d v="2020-06-23T00:00:00"/>
    <n v="1100000"/>
    <n v="0"/>
    <s v="PANAMERICANA LIBRERÍA Y PAPELERÍA S.A."/>
    <n v="830037946"/>
    <s v="CARETAS"/>
    <n v="100"/>
    <s v="UNIDAD"/>
    <n v="11000"/>
    <n v="0"/>
    <n v="1100000"/>
    <x v="11"/>
  </r>
  <r>
    <x v="15"/>
    <s v="50981"/>
    <s v="CONTRATAR EL SUMINISTRO DE ELEMENTOS DE PROTECCION PERSONAL PARA LA PREVENCIÓN DEL COVID-19 - ALCOHOL GLICERINADO EN CUMPLIMIENTO DE NUESTRO PLAN DE COMPRAS Y DEL PROTOCOLO DE ACCESO A SEDES - MEDIDAS COMPLEMENTARIAS PARA PREVENCIÓN DEL CONTAGIO DEL COVID-19 EN LOS SERVIDORES JUDICIALES, CONTRATISTAS DE PRESTACIÓN DE SERVICIOS Y JUDICANTES."/>
    <d v="2020-06-25T00:00:00"/>
    <d v="2020-06-25T00:00:00"/>
    <n v="38826000"/>
    <n v="0"/>
    <s v="BON SANTE SAS"/>
    <n v="901211678"/>
    <s v="ALCOHOL GLICERINADO CON REGISTRO INVIMA X LT"/>
    <n v="3000"/>
    <s v="LITRO"/>
    <n v="12942"/>
    <n v="0"/>
    <n v="38826000"/>
    <x v="4"/>
  </r>
  <r>
    <x v="15"/>
    <s v="52480"/>
    <s v="CONTRATAR A TRAVÉS DE LA TIENDA VIRTUAL DEL ESTADO COLOMBIANOS, LA ADQUISICIÓN DE LAVAMANOS PORTÁTILES"/>
    <d v="2020-07-23T00:00:00"/>
    <d v="2020-07-23T00:00:00"/>
    <n v="2359000"/>
    <n v="0"/>
    <s v="CENCOSUD COLOMBIA S.A."/>
    <n v="900155107"/>
    <s v="LAVAMANOS PORTATIL"/>
    <n v="1"/>
    <s v="UNIDAD"/>
    <n v="2359000"/>
    <n v="0"/>
    <n v="2359000"/>
    <x v="9"/>
  </r>
  <r>
    <x v="15"/>
    <s v="´40"/>
    <s v="CONTRATAR EN NOMBRE DE LA NACIÓN –CONSEJO SUPERIOR DE LA JUDICATURA –DIRECCIÓN EJECUTIVA SECCIONAL DE ADMINISTRACIÓN JUDICIAL DE POPAYÁN, LA PRESTACIÓN DE SERVICIOS DE PERSONAL DE APOYO PARA EL FORTALECIMIENTO DE LAS MEDIDAS DE PREVENCIÓN DEL CONTAGIO Y DE LA PROPAGACIÓN DEL COVID -19, ENCARGADOS DE LA TOMA DE TEMPERATURA CORPORAL, VERIFICACIÓN DE SÍNTOMAS, ADEMÁS DE VELAR POR EL CUMPLIMIENTO DE LOS PROTOCOLOS DE BIOSEGURIDAD DEFINIDOS POR LA ENTIDAD, EN LAS SEDES DE MAYOR AFLUENCIA EN EL DISTRITO JUDICIAL DE POPAYÁN"/>
    <d v="2020-09-16T00:00:00"/>
    <d v="2020-09-18T00:00:00"/>
    <n v="51600000"/>
    <n v="-802667"/>
    <s v="CENTRO DE SERVICIOS DE SALUD SANTANGEL AGENCIA POPAYÁN"/>
    <s v="900063271-4"/>
    <s v="CONTRATACION DE PERSONAL DE APOYO PARA LA PREVENCION DEL CONTAGIO Y LA PROPAGACION DEL COVID-19"/>
    <n v="30"/>
    <s v="VALOR MENSUAL POR PERSONA"/>
    <n v="1720000"/>
    <n v="0"/>
    <n v="51600000"/>
    <x v="6"/>
  </r>
  <r>
    <x v="15"/>
    <s v="´54"/>
    <s v="CONTRATAR LA PRESTACIÓN DE SERVICIOS DE PERSONAL DE APOYO PARA EL FORTALECIMIENTO DE LAS MEDIDAS DE PREVENCIÓN DEL CONTAGIO Y DE LA PROPAGACIÓN DEL COVID -19, ENCARGADOS DE LA TOMA DE TEMPERATURA CORPORAL, VERIFICACIÓN DE SÍNTOMAS, ADEMÁS DE VELAR POR EL CUMPLIMIENTO DE LOS PROTOCOLOS DE BIOSEGURIDAD DEFINIDOS POR LA ENTIDAD, EN LAS SEDES DE MAYOR AFLUENCIA EN EL DISTRITO JUDICIAL DE POPAYÁN"/>
    <d v="2020-11-23T00:00:00"/>
    <d v="2020-11-25T00:00:00"/>
    <n v="27720000"/>
    <n v="-1980000"/>
    <s v="CENTRO DE SERVICIOS DE SALUD SANTANGEL S.A IPS, AGENCIA POPAYÁN"/>
    <s v="900063271-4"/>
    <s v="CONTRATACION DE PERSONAL DE APOYO PARA LA PREVENCION DEL CONTAGIO Y LA PROPAGACION DEL COVID-19"/>
    <n v="504"/>
    <s v="VALOR MENSUAL POR PERSONA"/>
    <n v="55000"/>
    <n v="0"/>
    <n v="27720000"/>
    <x v="6"/>
  </r>
  <r>
    <x v="15"/>
    <s v="´60"/>
    <s v="CONTRATAR EN NOMBRE DE LA NACIÓN – CONSEJO SUPERIOR DE LA JUDICATURA  – DIRECCIÓN EJECUTIVA SECCIONAL DE ADMINISTRACIÓN JUDICIAL DE POPAYÁN, LA ADQUISICIÓN O COMPRA DE ELEMENTOS DE ASEO ( ALCOHOL Y GEL ANTIBACTERIAL) QUE AYUDE A MITIGAR LA TRANSMISIÓN DE AGENTES INFECCIOSOS Y DE DISMINUIR LA PROBABILIDAD DE CONTAMINACIÓN CRUZADA, CON EL FIN DE FORTALECER LAS MEDIDAS DE PREVENCIÓN DEL CONTAGIO Y DE LA PROPAGACIÓN DEL COVID -19, EN LOS FUNCIONARIOS, EMPLEADOS, JUDICANTES Y USUARIOS DE LA RAMA JUDICIAL DEL DISTRITO JUDICIAL DE POPAYÁN, CON LO QUE ADEMÁS SE PROPENDE POR EL CU"/>
    <d v="2020-12-22T00:00:00"/>
    <d v="2020-12-23T00:00:00"/>
    <n v="26108850"/>
    <n v="0"/>
    <s v="INSUMOS CLEAN HOUSE SAS"/>
    <s v="901086577-5"/>
    <s v="ALCOHOL ANTISEPTICO GALON"/>
    <n v="4342.5"/>
    <s v="LITRO"/>
    <n v="4253.333333333333"/>
    <n v="0"/>
    <n v="18470100"/>
    <x v="26"/>
  </r>
  <r>
    <x v="15"/>
    <s v="´60"/>
    <s v="CONTRATAR EN NOMBRE DE LA NACIÓN – CONSEJO SUPERIOR DE LA JUDICATURA  – DIRECCIÓN EJECUTIVA SECCIONAL DE ADMINISTRACIÓN JUDICIAL DE POPAYÁN, LA ADQUISICIÓN O COMPRA DE ELEMENTOS DE ASEO ( ALCOHOL Y GEL ANTIBACTERIAL) QUE AYUDE A MITIGAR LA TRANSMISIÓN DE AGENTES INFECCIOSOS Y DE DISMINUIR LA PROBABILIDAD DE CONTAMINACIÓN CRUZADA, CON EL FIN DE FORTALECER LAS MEDIDAS DE PREVENCIÓN DEL CONTAGIO Y DE LA PROPAGACIÓN DEL COVID -19, EN LOS FUNCIONARIOS, EMPLEADOS, JUDICANTES Y USUARIOS DE LA RAMA JUDICIAL DEL DISTRITO JUDICIAL DE POPAYÁN, CON LO QUE ADEMÁS SE PROPENDE POR EL CU"/>
    <d v="2020-12-22T00:00:00"/>
    <d v="2020-12-23T00:00:00"/>
    <n v="26108850"/>
    <n v="0"/>
    <s v="INSUMOS CLEAN HOUSE SAS"/>
    <s v="901086577-5"/>
    <s v="GEL ANTIBACTERIAL - FC"/>
    <n v="787.5"/>
    <s v="LITRO"/>
    <n v="9700"/>
    <n v="0"/>
    <n v="7638750"/>
    <x v="4"/>
  </r>
  <r>
    <x v="15"/>
    <s v="OC-54991"/>
    <s v="ADQUIRIR DISPOSITIVOS PERIFÉRICOS PARA LA DIGITALIZACIÓN DE EXPEDIENTES Y EL TRABAJO REMOTO, DEL PROYECTO DE FORTALECIMIENTO DE LA PLATAFORMA PARA LA GESTIÓN TECNOLÓGICA NACIONAL"/>
    <d v="2020-09-11T00:00:00"/>
    <d v="2020-09-11T00:00:00"/>
    <n v="31611816"/>
    <n v="0"/>
    <s v="GRUPO EMPRESARIAL CREAR DE COLOMBIA S.A.S"/>
    <s v="900564459-1"/>
    <s v="ETC02--LOTE3-ETP ESCANER A4 CAMAPLANA MINIMO 10.000 PAGINAS MINIMO 70 PPM ZONA 2"/>
    <n v="13"/>
    <s v="UNIDAD"/>
    <n v="2043427"/>
    <n v="388251.13"/>
    <n v="31611815.689999998"/>
    <x v="17"/>
  </r>
  <r>
    <x v="15"/>
    <s v="OC-55127"/>
    <s v="CONTRATAR EL SUMINISTRO DE ELEMENTOS DE PROTECCION PERSONAL PARA LA PREVENCIÓN DEL COVID- 19 EN CUMPLIMIENTO DE NUESTRO PLAN DE COMPRAS Y DEL PROTOCOLO DE ACCESO A SEDES - MEDIDAS COMPLEMENTARIAS PARA PREVENCIÓN DEL CONTAGIO DEL COVID-19 EN LOS SERVIDORES JUDICIALES, CONTRATISTAS DE PRESTACIÓN DE SERVICIOS Y JUDICANTES"/>
    <d v="2020-09-15T00:00:00"/>
    <d v="2020-09-15T00:00:00"/>
    <n v="5161930"/>
    <n v="0"/>
    <s v="EUROCOSSET"/>
    <s v="811032857-4"/>
    <s v="COV01-EPP-14 - GUANTES DE NITRILO"/>
    <n v="126"/>
    <s v="CAJA X 100"/>
    <n v="39150"/>
    <n v="0"/>
    <n v="4932900"/>
    <x v="10"/>
  </r>
  <r>
    <x v="15"/>
    <s v="OC-55956"/>
    <s v="FORTALECIMIENTO DE LA PLATAFORMA PARA LA GESTIÓN TECNOLÓGICA NACIONAL - ADQUISICIÓN DE CÁMARAS"/>
    <d v="2020-09-30T00:00:00"/>
    <d v="2020-09-30T00:00:00"/>
    <n v="15470000"/>
    <n v="0"/>
    <s v="MULTIVERSE TECH SERVICES SAS"/>
    <s v="900584757-7"/>
    <s v="CAMARAS PARA ESCRITORIO - DIGITECH PRO COV01-TEC-29 -"/>
    <n v="52"/>
    <s v="UNIDAD"/>
    <n v="250000"/>
    <n v="47500"/>
    <n v="15470000"/>
    <x v="18"/>
  </r>
  <r>
    <x v="15"/>
    <s v="OC-55957"/>
    <s v="FORTALECIMIENTO DE LA PLATAFORMA PARA LA GESTIÓN TECNOLÓGICA NACIONAL - ADQUISICIÓN DIADEMAS"/>
    <d v="2020-09-30T00:00:00"/>
    <d v="2020-09-30T00:00:00"/>
    <n v="8707260"/>
    <n v="0"/>
    <s v="GRUPO EMPRESARIAL CREAR DE COLOMBIA S.A.S"/>
    <s v="900564459-1"/>
    <s v="COV01-TEC-13 - DIADEMA INAL MBRICA MONOURAL SENCILLA - POLY / LOGITECH"/>
    <n v="52"/>
    <s v="UNIDAD"/>
    <n v="139500"/>
    <n v="26505"/>
    <n v="8632260"/>
    <x v="19"/>
  </r>
  <r>
    <x v="15"/>
    <s v="OC-57360"/>
    <s v="ADQUISICIÓN DE CARGADORES Y PILAS RECARGABLES PARA LOS TERMÓMETROS DIGITALES DESTINADOS PARA TOMA DE TEMPERATURA AL INGRESO DE LAS SEDES JUDICIALES"/>
    <d v="2020-10-28T00:00:00"/>
    <d v="2020-10-28T00:00:00"/>
    <n v="5515620"/>
    <n v="0"/>
    <s v="PANAMERICANA LIBRERÍA Y PAPELERÍA S.A."/>
    <s v="830037946-3"/>
    <s v="GS-PILA RECARGABLE 9 VOL. NIMH 170 MAH COD: 8507216"/>
    <n v="60"/>
    <s v="UNIDAD"/>
    <n v="34224"/>
    <n v="0"/>
    <n v="2053440"/>
    <x v="36"/>
  </r>
  <r>
    <x v="15"/>
    <s v="OC-57360"/>
    <s v="ADQUISICIÓN DE CARGADORES Y PILAS RECARGABLES PARA LOS TERMÓMETROS DIGITALES DESTINADOS PARA TOMA DE TEMPERATURA AL INGRESO DE LAS SEDES JUDICIALES"/>
    <d v="2020-10-28T00:00:00"/>
    <d v="2020-10-28T00:00:00"/>
    <n v="5515620"/>
    <n v="0"/>
    <s v="PANAMERICANA LIBRERÍA Y PAPELERÍA S.A."/>
    <s v="830037946-3"/>
    <s v="GS-CARGADOR P/PILAS AA-AAA-9 VOL + 4 PILAS. COD: 8507251"/>
    <n v="60"/>
    <s v="UNIDAD"/>
    <n v="57703"/>
    <n v="0"/>
    <n v="3462180"/>
    <x v="36"/>
  </r>
  <r>
    <x v="15"/>
    <s v="OC-60266"/>
    <s v="CONTRATAR LA ADQUISICIÓN DE ELEMENTOS DE PROTECCION PERSONAL Y ELEMENTOS DE LIMPIEZA Y DESINFECCIÓN (TAPABOCAS, AMONIO, PAÑOS DE LIMPIEZA, FRASCOS PLASTICOS,) PARA LA PREVENCIÓN DEL CONTAGIO Y LA PROPAGACION DEL COVID-19 EN LOS FUNCIONARIOS, EMPLEADOS, JUDICANTES Y USUARIOS DE LA RAMA JUDICIAL DEL DISTRITO JUDICIAL DE POPAYAN."/>
    <d v="2020-12-01T00:00:00"/>
    <d v="2020-12-01T00:00:00"/>
    <n v="45875000"/>
    <n v="0"/>
    <s v="M.A.S EMPRESARIAL SM S.A.S"/>
    <s v="900401081-2"/>
    <s v="COV01-EPP-31 - TAPABOCAS DOBLE TELA LAVABLE"/>
    <n v="91200"/>
    <s v="UNIDAD"/>
    <n v="500"/>
    <n v="0"/>
    <n v="45600000"/>
    <x v="3"/>
  </r>
  <r>
    <x v="15"/>
    <s v="OC-60730"/>
    <s v="CONTRATAR LA ADQUISICIÓN DE ELEMENTOS DE PROTECCIÓN PERSONAL Y ELEMENTOS DE LIMPIEZA Y DESINFECCIÓN (TOALLAS DE PAPEL PARA MANOS) PARA LA PREVENCIÓN DEL CONTAGIO Y LA PROPAGACIÓN DEL COVID-19 EN LOS FUNCIONARIOS, EMPLEADOS, JUDICANTES Y USUARIOS DE LA RAMA JUDICIAL DEL DISTRITO JUDICIAL DE POPAYÁN."/>
    <d v="2020-12-04T00:00:00"/>
    <d v="2020-12-04T00:00:00"/>
    <n v="31073520"/>
    <n v="0"/>
    <s v="SOLOASEO CAFETERIA DISTRIBUCIONES"/>
    <s v="19254921-8"/>
    <s v="COV01-PA-60 - TOALLAS PARA MANOS 4 - UNIDAD"/>
    <n v="8800"/>
    <s v="PAQUETE"/>
    <n v="2910"/>
    <n v="552.9"/>
    <n v="30473520"/>
    <x v="8"/>
  </r>
  <r>
    <x v="15"/>
    <s v="OC-61160"/>
    <s v="CONTRATAR LA ADQUISICIÓN DE ELEMENTOS DE PROTECCIÓN PERSONAL Y ELEMENTOS DE LIMPIEZA Y DESINFECCIÓN (LAVAMANOS PORTÁTILES) PARA LA PREVENCIÓN DEL CONTAGIO Y LA PROPAGACIÓN DEL COVID-19 EN LOS FUNCIONARIOS, EMPLEADOS, JUDICANTES Y USUARIOS DE LA RAMA JUDICIAL DEL DISTRITO JUDICIAL DE POPAYÁN."/>
    <d v="2020-12-09T00:00:00"/>
    <d v="2020-12-09T00:00:00"/>
    <n v="8787100"/>
    <n v="0"/>
    <s v="INDUHOTEL SAS"/>
    <s v="900300970-1"/>
    <s v="COV01-PA-70 - LAVAMANOS PORTÁTIL AUTÓNOMO CON DISPENSADORES INCLUIDOS - UNIDAD"/>
    <n v="12"/>
    <s v="UNIDAD"/>
    <n v="573326.33053221297"/>
    <n v="108932.00280112047"/>
    <n v="8187100.0000000019"/>
    <x v="9"/>
  </r>
  <r>
    <x v="15"/>
    <s v="OC-61623"/>
    <s v="CONTRATAR LA ADQUISICIÓN DE ELEMENTOS DE PROTECCIÓN PERSONAL (GUANTES DE NITRILO Y TRAJES DESECHABLES) PARA LA PREVENCIÓN DEL CONTAGIO Y LA PROPAGACIÓN DEL COVID-19 EN LOS FUNCIONARIOS, EMPLEADOS, JUDICANTES Y USUARIOS DE LA RAMA JUDICIAL DEL DISTRITO JUDICIAL DE POPAYÁN."/>
    <d v="2020-12-14T00:00:00"/>
    <d v="2020-12-14T00:00:00"/>
    <n v="265000"/>
    <n v="0"/>
    <s v="BON SANTE SAS"/>
    <s v="901211678-7"/>
    <s v="COV01-EPP-34 - TRAJE DESECHABLE ANTIFLUIDO"/>
    <n v="20"/>
    <s v="UNIDAD"/>
    <n v="11750"/>
    <n v="0"/>
    <n v="235000"/>
    <x v="0"/>
  </r>
  <r>
    <x v="15"/>
    <s v="OC-61624"/>
    <s v="CONTRATAR LA ADQUISICIÓN DE ELEMENTOS DE PROTECCIÓN PERSONAL Y ELEMENTOS DE LIMPIEZA Y DESINFECCIÓN (TAPABOCAS, AMONIO CUATERNARIO, PAÑOS DE LIMPIEZA, FRASCOS PLÁSTICOS) PARA LA PREVENCIÓN DEL CONTAGIO Y LA PROPAGACIÓN DEL COVID- 19 EN LOS FUNCIONARIOS, EMPLEADOS, JUDICANTES Y USUARIOS DE LA RAMA JUDICIAL DEL DISTRITO JUDICIAL DE POPAYÁN."/>
    <d v="2020-12-14T00:00:00"/>
    <d v="2020-12-14T00:00:00"/>
    <n v="2969000"/>
    <n v="0"/>
    <s v="DIGILED TECHNOLOGY S.A.S"/>
    <s v="901104771-6"/>
    <s v="COV01-PA-14 - DETERGENTE DESINFECTANTE DESODORANTE FRASCO PARA LA LIMPIEZA Y LA DESINFECCIÓN DE TODA SUPERFICIE LAVABLE - FRASCO X 1LT CON DOSIFICADOR INTEGRADO"/>
    <n v="1000"/>
    <s v="LITRO"/>
    <n v="2599"/>
    <n v="0"/>
    <n v="2599000"/>
    <x v="46"/>
  </r>
  <r>
    <x v="15"/>
    <s v="OC-61625"/>
    <s v="CONTRATAR LA ADQUISICIÓN DE ELEMENTOS DE PROTECCIÓN PERSONAL Y ELEMENTOS DE LIMPIEZA Y DESINFECCIÓN (TAPABOCAS, AMONIO CUATERNARIO, PAÑOS DE LIMPIEZA, FRASCOS PLÁSTICOS) PARA LA PREVENCIÓN DEL CONTAGIO Y LA PROPAGACIÓN DEL COVID- 19 EN LOS FUNCIONARIOS, EMPLEADOS, JUDICANTES Y USUARIOS DE LA RAMA JUDICIAL DEL DISTRITO JUDICIAL DE POPAYÁN"/>
    <d v="2020-12-14T00:00:00"/>
    <d v="2020-12-14T00:00:00"/>
    <n v="2055310"/>
    <n v="0"/>
    <s v="INDUHOTEL SAS"/>
    <s v="900300970-1"/>
    <s v="COV01-PA-81 - PAÑO LIMPIEZA - UNIDAD"/>
    <n v="1000"/>
    <s v="UNIDAD"/>
    <n v="1349"/>
    <n v="256.31"/>
    <n v="1605310"/>
    <x v="47"/>
  </r>
  <r>
    <x v="15"/>
    <s v="OC-61626"/>
    <s v="CONTRATAR LA ADQUISICIÓN DE ELEMENTOS DE PROTECCIÓN PERSONAL Y ELEMENTOS DE LIMPIEZA Y DESINFECCIÓN (TAPABOCAS, AMONIO CUATERNARIO, PAÑOS DE LIMPIEZA, FRASCOS PLÁSTICOS) PARA LA PREVENCIÓN DEL CONTAGIO Y LA PROPAGACIÓN DEL COVID- 19 EN LOS FUNCIONARIOS, EMPLEADOS, JUDICANTES Y USUARIOS DE LA RAMA JUDICIAL DEL DISTRITO JUDICIAL DE POPAYÁN."/>
    <d v="2020-12-14T00:00:00"/>
    <d v="2020-12-14T00:00:00"/>
    <n v="1903275"/>
    <n v="0"/>
    <s v="PAPER BOX SP SAS"/>
    <s v="900791672-7"/>
    <s v="COV01-PA-75 - FRASCO ATOMIZADOR 1 - UNIDAD"/>
    <n v="900"/>
    <s v="UNIDAD"/>
    <n v="1525"/>
    <n v="289.75"/>
    <n v="1633275"/>
    <x v="20"/>
  </r>
  <r>
    <x v="15"/>
    <s v="OC-61834"/>
    <s v="CONTRATAR LA ADQUISICIÓN DE ELEMENTOS DE PROTECCIÓN PERSONAL Y ELEMENTOS DE LIMPIEZA Y DESINFECCIÓN (TAPABOCAS, JABÓN, AMONIO CUATERNARIO, PAÑOS DE LIMPIEZA, FRASCOS PLÁSTICOS) PARA LA PREVENCIÓN DEL CONTAGIO Y LA PROPAGACIÓN DEL COVID-19 EN LOS FUNCIONARIOS, EMPLEADOS, JUDICANTES Y USUARIOS DE LA RAMA JUDICIAL DEL DISTRITO JUDICIAL DE POPAYÁN."/>
    <d v="2020-12-15T00:00:00"/>
    <d v="2020-12-15T00:00:00"/>
    <n v="3058800"/>
    <n v="0"/>
    <s v="BON SANTE SAS"/>
    <s v="901211678-7"/>
    <s v="COV01-PA-28 - JABÓN DISPENSADOR PARA MANOS 1 - LÍQUIDO, EN RECIPIENTE PLÁSTICO CON DISPENSADOR Y CAPACIDAD MÍNIMA DE 500 ML."/>
    <n v="600"/>
    <s v="LITRO"/>
    <n v="3998"/>
    <n v="0"/>
    <n v="2398800"/>
    <x v="5"/>
  </r>
  <r>
    <x v="15"/>
    <s v="OC-61837"/>
    <s v="CONTRATAR LA ADQUISICIÓN DE EQUIPOS BIOMÉDICOS (TERMÓMETROS DIGITALES) PARA LA PREVENCIÓN DEL CONTAGIO Y LA PROPAGACIÓN DEL COVID-19 EN LOS FUNCIONARIOS, EMPLEADOS, JUDICANTES Y USUARIOS DE LA RAMA JUDICIAL DEL DISTRITO JUDICIAL DE POPAYÁN."/>
    <d v="2020-12-15T00:00:00"/>
    <d v="2020-12-15T00:00:00"/>
    <n v="2180000"/>
    <n v="0"/>
    <s v="AVANZA INTERNACIONAL GROUP"/>
    <s v="900505419-5"/>
    <s v="COV01-EB-98 - TERMÓMETRO INFRAROJO"/>
    <n v="40"/>
    <s v="UNIDAD"/>
    <n v="45000"/>
    <n v="0"/>
    <n v="1800000"/>
    <x v="22"/>
  </r>
  <r>
    <x v="15"/>
    <s v="OC-63067"/>
    <s v="CONTRATAR LA ADQUISICIÓN DE ELEMENTOS DE PROTECCIÓN PERSONAL (GUANTES DE NITRILO Y TRAJES DESECHABLES) PARA LA PREVENCIÓN DEL CONTAGIO Y LA PROPAGACIÓN DEL COVID-19 EN LOS FUNCIONARIOS, EMPLEADOS, JUDICANTES Y USUARIOS DE LA RAMA JUDICIAL DEL DISTRITO JUDICIAL DE POPAYÁN."/>
    <d v="2020-12-29T00:00:00"/>
    <d v="2020-12-29T00:00:00"/>
    <n v="7458720"/>
    <n v="0"/>
    <s v="PANAMERICANA LIBRERÍA Y PAPELERÍA S.A."/>
    <s v="830037946-3"/>
    <s v="GUANTE EXAMEN EN NITRILO CAJA X 100 T S COD: 900507087"/>
    <n v="160"/>
    <s v="CAJA X 100"/>
    <n v="46617"/>
    <n v="0"/>
    <n v="7458720"/>
    <x v="10"/>
  </r>
  <r>
    <x v="15"/>
    <s v="OC-63191"/>
    <s v="CONTRATAR LA ADQUISICIÓN DE ELEMENTOS DE ASEO ( ALCOHOL Y GEL ANTIBACTERIAL) QUE AYUDE A MITIGAR LA TRANSMISIÓN DE AGENTES INFECCIOSOS Y DE DISMINUIR LA PROBABILIDAD DE CONTAMINACIÓN CRUZADA, CON EL FIN DE FORTALECER LAS MEDIDAS DE PREVENCIÓN DEL CONTAGIO Y DE LA PROPAGACIÓN DEL COVID -19, EN LOS FUNCIONARIOS, EMPLEADOS, JUDICANTES Y USUARIOS DE LA RAMA JUDICIAL DEL DISTRITO JUDICIAL DE POPAYÁN, CON LO QUE ADEMÁS SE PROPENDE POR EL CUMPLIMIENTO DE LOS PROTOCOLOS DE BIOSEGURIDAD DEFINIDOS POR LA ENTIDAD"/>
    <d v="2020-12-30T00:00:00"/>
    <d v="2020-12-30T00:00:00"/>
    <n v="8168040"/>
    <n v="0"/>
    <s v="CENCOSUD COLOMBIA S.A."/>
    <s v="900155107-1"/>
    <s v="GUANTES "/>
    <n v="162"/>
    <s v="CAJA X 100"/>
    <n v="50420"/>
    <n v="0"/>
    <n v="8168040"/>
    <x v="10"/>
  </r>
  <r>
    <x v="16"/>
    <s v="35"/>
    <s v="PRESTAR EL SERVICIO DE ASEO INTEGRAL EN LAS OFICINAS ADMINISTRATIVAS Y DESPACHOS JUDICIALES "/>
    <d v="2019-01-12T00:00:00"/>
    <d v="2019-12-01T00:00:00"/>
    <n v="0"/>
    <n v="67434392"/>
    <s v="ASEAR S.A E.S.P"/>
    <n v="811044253"/>
    <s v="ALCOHOL ANTISÉPTICO "/>
    <n v="400"/>
    <s v="LITRO"/>
    <n v="7000"/>
    <n v="0"/>
    <n v="2800000"/>
    <x v="26"/>
  </r>
  <r>
    <x v="16"/>
    <s v="35"/>
    <s v="PRESTAR EL SERVICIO DE ASEO INTEGRAL EN LAS OFICINAS ADMINISTRATIVAS Y DESPACHOS JUDICIALES "/>
    <d v="2019-01-12T00:00:00"/>
    <d v="2019-12-01T00:00:00"/>
    <n v="0"/>
    <n v="67434392"/>
    <s v="ASEAR S.A E.S.P"/>
    <n v="811044253"/>
    <s v="ALCOHOL INDUSTRIAL X LITROS"/>
    <n v="200"/>
    <s v="LITRO"/>
    <n v="10920"/>
    <n v="0"/>
    <n v="2184000"/>
    <x v="26"/>
  </r>
  <r>
    <x v="16"/>
    <s v="35"/>
    <s v="PRESTAR EL SERVICIO DE ASEO INTEGRAL EN LAS OFICINAS ADMINISTRATIVAS Y DESPACHOS JUDICIALES "/>
    <d v="2019-01-12T00:00:00"/>
    <d v="2019-12-01T00:00:00"/>
    <n v="0"/>
    <n v="67434392"/>
    <s v="ASEAR S.A E.S.P"/>
    <n v="811044253"/>
    <s v="GUANTES DE NITRILO CAJA X 50"/>
    <n v="300"/>
    <s v="CAJA X 100"/>
    <n v="53200"/>
    <n v="0"/>
    <n v="15960000"/>
    <x v="10"/>
  </r>
  <r>
    <x v="16"/>
    <s v="35"/>
    <s v="PRESTAR EL SERVICIO DE ASEO INTEGRAL EN LAS OFICINAS ADMINISTRATIVAS Y DESPACHOS JUDICIALES "/>
    <d v="2019-01-12T00:00:00"/>
    <d v="2019-12-01T00:00:00"/>
    <n v="0"/>
    <n v="67434392"/>
    <s v="ASEAR S.A E.S.P"/>
    <n v="811044253"/>
    <s v="_x000a_TOALLA PAPEL RESIST. Y ABSORB X50_x000a_"/>
    <n v="115.33333333333333"/>
    <s v="PAQUETE"/>
    <n v="15600"/>
    <n v="0"/>
    <n v="1799200"/>
    <x v="8"/>
  </r>
  <r>
    <x v="16"/>
    <s v="35"/>
    <s v="PRESTAR EL SERVICIO DE ASEO INTEGRAL EN LAS OFICINAS ADMINISTRATIVAS Y DESPACHOS JUDICIALES "/>
    <d v="2019-01-12T00:00:00"/>
    <d v="2019-12-01T00:00:00"/>
    <n v="0"/>
    <n v="67434392"/>
    <s v="ASEAR S.A E.S.P"/>
    <n v="811044253"/>
    <s v="_x000a__x000a__x000a_GEL ANTIBACTERIAL X LITRO_x000a_"/>
    <n v="168"/>
    <s v="LITRO"/>
    <n v="19200"/>
    <n v="0"/>
    <n v="3225600"/>
    <x v="4"/>
  </r>
  <r>
    <x v="16"/>
    <s v="35"/>
    <s v="PRESTAR EL SERVICIO DE ASEO INTEGRAL EN LAS OFICINAS ADMINISTRATIVAS Y DESPACHOS JUDICIALES "/>
    <d v="2019-01-12T00:00:00"/>
    <d v="2019-12-01T00:00:00"/>
    <n v="0"/>
    <n v="67434392"/>
    <s v="ASEAR S.A E.S.P"/>
    <n v="811044253"/>
    <s v="_x000a__x000a_TAPABOCA TELA ANTIFLUIDO_x000a__x000a_"/>
    <n v="6000"/>
    <s v="UNIDAD"/>
    <n v="3680"/>
    <n v="0"/>
    <n v="22080000"/>
    <x v="3"/>
  </r>
  <r>
    <x v="16"/>
    <s v="35"/>
    <s v="PRESTAR EL SERVICIO DE ASEO INTEGRAL EN LAS OFICINAS ADMINISTRATIVAS Y DESPACHOS JUDICIALES "/>
    <d v="2019-01-12T00:00:00"/>
    <d v="2019-12-01T00:00:00"/>
    <n v="0"/>
    <n v="67434392"/>
    <s v="ASEAR S.A E.S.P"/>
    <n v="811044253"/>
    <s v="_x000a__x000a__x000a_MONOGAFAS DE PROTECCIÓN_x000a_"/>
    <n v="340"/>
    <s v="UNIDAD"/>
    <n v="6300"/>
    <n v="0"/>
    <n v="2142000"/>
    <x v="2"/>
  </r>
  <r>
    <x v="16"/>
    <s v="35"/>
    <s v="PRESTAR EL SERVICIO DE ASEO INTEGRAL EN LAS OFICINAS ADMINISTRATIVAS Y DESPACHOS JUDICIALES "/>
    <d v="2019-01-12T00:00:00"/>
    <d v="2019-12-01T00:00:00"/>
    <n v="0"/>
    <n v="67434392"/>
    <s v="ASEAR S.A E.S.P"/>
    <n v="811044253"/>
    <s v="DESINFECTANTE X LITRO"/>
    <n v="150"/>
    <s v="LITRO"/>
    <n v="77000"/>
    <n v="0"/>
    <n v="11550000"/>
    <x v="46"/>
  </r>
  <r>
    <x v="16"/>
    <s v="35"/>
    <s v="PRESTAR EL SERVICIO DE ASEO INTEGRAL EN LAS OFICINAS ADMINISTRATIVAS Y DESPACHOS JUDICIALES "/>
    <d v="2019-01-12T00:00:00"/>
    <d v="2019-12-01T00:00:00"/>
    <n v="0"/>
    <n v="67434392"/>
    <s v="ASEAR S.A E.S.P"/>
    <n v="811044253"/>
    <s v="_x000a__x000a_DOSIFICADORES DE PUSH X 500 ML_x000a_"/>
    <n v="428"/>
    <s v="UNIDAD"/>
    <n v="2944"/>
    <n v="0"/>
    <n v="1260032"/>
    <x v="20"/>
  </r>
  <r>
    <x v="16"/>
    <s v="35"/>
    <s v="PRESTAR EL SERVICIO DE ASEO INTEGRAL EN LAS OFICINAS ADMINISTRATIVAS Y DESPACHOS JUDICIALES "/>
    <d v="2019-01-12T00:00:00"/>
    <d v="2019-12-01T00:00:00"/>
    <n v="0"/>
    <n v="67434392"/>
    <s v="ASEAR S.A E.S.P"/>
    <n v="811044253"/>
    <s v="_x000a__x000a_ATOMIZADORES X 500 ML_x000a_"/>
    <n v="424"/>
    <s v="UNIDAD"/>
    <n v="2815"/>
    <n v="0"/>
    <n v="1193560"/>
    <x v="20"/>
  </r>
  <r>
    <x v="16"/>
    <s v="35"/>
    <s v="PRESTAR EL SERVICIO DE ASEO INTEGRAL EN LAS OFICINAS ADMINISTRATIVAS Y DESPACHOS JUDICIALES "/>
    <d v="2019-01-12T00:00:00"/>
    <d v="2019-12-01T00:00:00"/>
    <n v="0"/>
    <n v="67434392"/>
    <s v="ASEAR S.A E.S.P"/>
    <n v="811044253"/>
    <s v="_x000a__x000a_TRAJE BIOSEGURIDAD REUTILIZABLE X 3 VECES_x000a_"/>
    <n v="120"/>
    <s v="UNIDAD"/>
    <n v="27000"/>
    <n v="0"/>
    <n v="3240000"/>
    <x v="0"/>
  </r>
  <r>
    <x v="16"/>
    <s v="57257"/>
    <s v="CONTRATAR LA COMPRA DE BASESPARA DISPENSADORES DE GEL DESINFECTANTEY JABÓN LÍQUIDO PARA MANOS A TRAVÉS DELINSTRUMENTO DE AGREGACIÓN DE DEMANDA IADCOVID-19 DE LA TIENDA VIRTUAL DEL ESTADO COLOMBIANO PARA LA RAMA JUDICIAL DELDEPARTAMENTO DEL MAGDALENA EN EL MARCO DELDECRETO DE EMERGENCIA SANITARIA EMANADO DELGOBIERNO NACIONAL"/>
    <d v="2020-10-27T00:00:00"/>
    <d v="2020-10-27T00:00:00"/>
    <n v="5745134"/>
    <n v="0"/>
    <s v="INDUHOTEL S.A.S"/>
    <s v="90030097-0"/>
    <s v="BASES DISPENSADORAS DE GEL "/>
    <n v="100"/>
    <s v="UNIDAD"/>
    <n v="48278.436974789918"/>
    <n v="9172.9030252100838"/>
    <n v="5745134"/>
    <x v="12"/>
  </r>
  <r>
    <x v="16"/>
    <s v="58430"/>
    <s v="CONTRATAR LA COMPRA DE ELEMENTOSDE PROTECCIÓN PERSONAL EPP (CARETAS DE PROTECCIÓNFACIAL) A TRAVÉS DEL INSTRUMENTO DE AGREGACIÓN DEDEMANDA IAD COVID-19, PARA LA RAMA JUDICIAL DELDEPARTAMENTO DEL MAGDALENA EN EL MARCO DELDECRETO DE EMERGENCIA SANITARIA EMANADO DELGOBIERNO NACIONAL.”"/>
    <d v="2020-11-12T00:00:00"/>
    <d v="2020-11-12T00:00:00"/>
    <n v="2821426.73"/>
    <n v="0"/>
    <s v="BONSANTE S.A.S"/>
    <s v="90121167-8"/>
    <s v="CARETAS DE PROTECCION FACIAL"/>
    <n v="900"/>
    <s v="UNIDAD"/>
    <n v="3134.91"/>
    <n v="0"/>
    <n v="2821419"/>
    <x v="11"/>
  </r>
  <r>
    <x v="16"/>
    <s v="58431"/>
    <s v="CONTRATAR LA COMPRA DE ELEMENTOSDE PROTECCIÓN PERSONAL EPP (GUANTES DE NITRILO) ATRAVÉS DEL INSTRUMENTO DE AGREGACIÓN DE DEMANDAIAD COVID-19, PARA LA RAMA JUDICIAL DELDEPARTAMENTO DEL MAGDALENA EN EL MARCO DELDECRETO DE EMERGENCIA SANITARIA EMANADO DELGOBIERNO NACIONAL"/>
    <d v="2020-11-12T00:00:00"/>
    <d v="2020-11-12T00:00:00"/>
    <n v="23991043.460000001"/>
    <n v="0"/>
    <s v="GLOBAL COLOMBIA S.A.S"/>
    <s v="830051855-1"/>
    <s v="GUANTES DE NITRILO "/>
    <n v="500"/>
    <s v="CAJA X 100"/>
    <n v="47982.080000000002"/>
    <n v="0"/>
    <n v="23991040"/>
    <x v="10"/>
  </r>
  <r>
    <x v="16"/>
    <s v="59177"/>
    <s v="CONTRATAR LA COMPRA DE PRODUCTOSDE ASEO (JABÓN LÍQUIDO PARA MANOS, GEL ALCOHOLISOPROPÍLICO, TOALLAS PARA MANOS, ) A TRAVÉS DELINSTRUMENTO DE AGREGACIÓN DE DEMANDA IADCOVID-19 PARA LA RAMA JUDICIAL DEL DEPARTAMENTODEL MAGDALENA EN EL MARCO DEL DECRETO DE EMERGENCIA SANITARIA EMANADO DEL GOBIERNONACIONAL.”"/>
    <d v="2020-11-20T00:00:00"/>
    <d v="2020-11-20T00:00:00"/>
    <n v="15004982.41"/>
    <n v="0"/>
    <s v="SOLOASEO CAFETERIA DISTRIBUCIONES "/>
    <s v="19254921-8"/>
    <s v="GEL ANTIBACTERIAL X 1 LITRO"/>
    <n v="500"/>
    <s v="LITRO"/>
    <n v="4800.5600000000004"/>
    <n v="0"/>
    <n v="2400280"/>
    <x v="4"/>
  </r>
  <r>
    <x v="16"/>
    <s v="59177"/>
    <s v="CONTRATAR LA COMPRA DE PRODUCTOSDE ASEO (JABÓN LÍQUIDO PARA MANOS, GEL ALCOHOLISOPROPÍLICO, TOALLAS PARA MANOS, ) A TRAVÉS DELINSTRUMENTO DE AGREGACIÓN DE DEMANDA IADCOVID-19 PARA LA RAMA JUDICIAL DEL DEPARTAMENTODEL MAGDALENA EN EL MARCO DEL DECRETO DE EMERGENCIA SANITARIA EMANADO DEL GOBIERNONACIONAL.”"/>
    <d v="2020-11-20T00:00:00"/>
    <d v="2020-11-20T00:00:00"/>
    <n v="15004982.41"/>
    <n v="0"/>
    <s v="SOLOASEO CAFETERIA DISTRIBUCIONES "/>
    <s v="19254921-8"/>
    <s v="JABON LIQUIDO PARA MANOS 500ML"/>
    <n v="1000"/>
    <s v="LITRO"/>
    <n v="5205.2"/>
    <n v="0"/>
    <n v="5205200"/>
    <x v="5"/>
  </r>
  <r>
    <x v="16"/>
    <s v="59177"/>
    <s v="CONTRATAR LA COMPRA DE PRODUCTOSDE ASEO (JABÓN LÍQUIDO PARA MANOS, GEL ALCOHOLISOPROPÍLICO, TOALLAS PARA MANOS, ) A TRAVÉS DELINSTRUMENTO DE AGREGACIÓN DE DEMANDA IADCOVID-19 PARA LA RAMA JUDICIAL DEL DEPARTAMENTODEL MAGDALENA EN EL MARCO DEL DECRETO DE EMERGENCIA SANITARIA EMANADO DEL GOBIERNONACIONAL.”"/>
    <d v="2020-11-20T00:00:00"/>
    <d v="2020-11-20T00:00:00"/>
    <n v="15004982.41"/>
    <n v="0"/>
    <s v="SOLOASEO CAFETERIA DISTRIBUCIONES "/>
    <s v="19254921-8"/>
    <s v="TOALLAS PARA MANOS X 150 UN"/>
    <n v="2000"/>
    <s v="PAQUETE"/>
    <n v="3199.54"/>
    <n v="607.9126"/>
    <n v="7614905.2000000002"/>
    <x v="8"/>
  </r>
  <r>
    <x v="16"/>
    <s v="59182"/>
    <s v="CONTRATAR LA COMPRA DE PRODUCTOSDE ASEO (ALCOHOL ANTISÉPTICO) A TRAVÉS DELINSTRUMENTO DE AGREGACIÓN DE DEMANDA IADCOVID-19 PARA LA RAMA JUDICIAL DEL DEPARTAMENTODEL MAGDALENA EN EL MARCO DEL DECRETO DEEMERGENCIA SANITARIA EMANADO DEL GOBIERNONACIONAL"/>
    <d v="2020-11-20T00:00:00"/>
    <d v="2020-11-20T00:00:00"/>
    <n v="16823986"/>
    <n v="0"/>
    <s v="MARCELA ALEXANDRA MESA"/>
    <n v="52223268"/>
    <s v="ALCOHOL  FRASCO X 750 CC"/>
    <n v="1875"/>
    <s v="LITRO"/>
    <n v="8972"/>
    <n v="0"/>
    <n v="16822500"/>
    <x v="26"/>
  </r>
  <r>
    <x v="16"/>
    <s v="59199"/>
    <s v="CONTRATAR LA COMPRA DE PRODUCTOSDE ASEO ( LAVAMANOS) A TRAVÉS DEL INSTRUMENTO DEAGREGACIÓN DE DEMANDA IAD COVID-19 PARA LARAMA JUDICIAL DEL DEPARTAMENTO DEL MAGDALENA ENEL MARCO DEL DECRETO DE EMERGENCIA SANITARIAEMANADO DEL GOBIERNO NACIONAL"/>
    <d v="2020-11-20T00:00:00"/>
    <d v="2020-11-20T00:00:00"/>
    <n v="6003591.8200000003"/>
    <n v="0"/>
    <s v="GRUPO EMPRESARIAL S.A.S"/>
    <s v="900353659-9"/>
    <s v="LAVAMANOS PORTATILES AUTONOMO CON DISPENSADORES INCLUIDOS"/>
    <n v="8"/>
    <s v="UNIDAD"/>
    <n v="638775.5"/>
    <n v="121367.345"/>
    <n v="6081142.7599999998"/>
    <x v="9"/>
  </r>
  <r>
    <x v="16"/>
    <s v="61024"/>
    <s v="CONTRATAR LA COMPRA DE PRODUCTOSDE ASEO (TAPETES DE DESINFECCIÓN) A TRAVÉS DEGRANDES SUPERFICIES PARA LA RAMA JUDICIAL DELDEPARTAMENTO DEL MAGDALENA EN EL MARCO DELDECRETO DE EMERGENCIA SANITARIA EMANADO DEL GOBIERNO NACIONAL"/>
    <d v="2020-12-07T00:00:00"/>
    <d v="2020-12-07T00:00:00"/>
    <n v="8124286"/>
    <n v="0"/>
    <s v="ÉXITO S.A"/>
    <s v="89090060-8"/>
    <s v="TAPETES DE DESINFECCION "/>
    <n v="100"/>
    <s v="UNIDAD"/>
    <n v="68271.310924369755"/>
    <n v="12971.549075630253"/>
    <n v="8124286.0000000019"/>
    <x v="35"/>
  </r>
  <r>
    <x v="17"/>
    <s v="CD 03 DE 2020"/>
    <s v="COMPRAVENTA DE INSUMOS PARA ATENDER EMERGENCIA SANITARIA OCASIONADA POR EL COVID-19 EN LAS SEDES JUDICIALES DEL DEPARTAMENTO DE SUCRE"/>
    <d v="2020-03-24T00:00:00"/>
    <d v="2020-03-24T00:00:00"/>
    <n v="19313663"/>
    <n v="0"/>
    <s v="ARMANDO MARTIN NIETO CASTAÑO"/>
    <n v="92511814"/>
    <s v="TRAJE ENTERO ANTIFLUIDO"/>
    <n v="229"/>
    <s v="UNIDAD"/>
    <n v="34061"/>
    <n v="6471.59"/>
    <n v="9281963.1099999994"/>
    <x v="0"/>
  </r>
  <r>
    <x v="17"/>
    <s v="CD 03 DE 2020"/>
    <s v="COMPRAVENTA DE INSUMOS PARA ATENDER EMERGENCIA SANITARIA OCASIONADA POR EL COVID-19 EN LAS SEDES JUDICIALES DEL DEPARTAMENTO DE SUCRE"/>
    <d v="2020-03-24T00:00:00"/>
    <d v="2020-03-24T00:00:00"/>
    <n v="19313663"/>
    <n v="0"/>
    <s v="ARMANDO MARTIN NIETO CASTAÑO"/>
    <n v="92511814"/>
    <s v="TAPABOCAS DESECHABLES EN PAQUETES INDIVIDUALES"/>
    <n v="1500"/>
    <s v="UNIDAD"/>
    <n v="4200"/>
    <n v="798"/>
    <n v="7497000"/>
    <x v="3"/>
  </r>
  <r>
    <x v="17"/>
    <s v="CD 03 DE 2020"/>
    <s v="COMPRAVENTA DE INSUMOS PARA ATENDER EMERGENCIA SANITARIA OCASIONADA POR EL COVID-19 EN LAS SEDES JUDICIALES DEL DEPARTAMENTO DE SUCRE"/>
    <d v="2020-03-24T00:00:00"/>
    <d v="2020-03-24T00:00:00"/>
    <n v="19313663"/>
    <n v="0"/>
    <s v="ARMANDO MARTIN NIETO CASTAÑO"/>
    <n v="92511814"/>
    <s v=" TOALLAS MANOS DESECHABLES EN Z"/>
    <n v="120"/>
    <s v="PAQUETE"/>
    <n v="14000"/>
    <n v="2660"/>
    <n v="1999200"/>
    <x v="8"/>
  </r>
  <r>
    <x v="17"/>
    <s v="CD 03 DE 2020"/>
    <s v="COMPRAVENTA DE INSUMOS PARA ATENDER EMERGENCIA SANITARIA OCASIONADA POR EL COVID-19 EN LAS SEDES JUDICIALES DEL DEPARTAMENTO DE SUCRE"/>
    <d v="2020-03-24T00:00:00"/>
    <d v="2020-03-24T00:00:00"/>
    <n v="19313663"/>
    <n v="0"/>
    <s v="ARMANDO MARTIN NIETO CASTAÑO"/>
    <n v="92511814"/>
    <s v="GUANTES LATEX TALLA L Y M"/>
    <n v="10"/>
    <s v="CAJA X 100"/>
    <n v="45000"/>
    <n v="8550"/>
    <n v="535500"/>
    <x v="24"/>
  </r>
  <r>
    <x v="17"/>
    <s v="ADICION CD 03 DE 2020"/>
    <s v="COMPRAVENTA DE INSUMOS PARA ATENDER EMERGENCIA SANITARIA OCASIONADA POR EL COVID-19 EN LAS SEDES JUDICIALES DEL DEPARTAMENTO DE SUCRE"/>
    <d v="2020-03-24T00:00:00"/>
    <d v="2020-03-24T00:00:00"/>
    <n v="0"/>
    <n v="4134324"/>
    <s v="ARMANDO MARTIN NIETO CASTAÑO"/>
    <n v="92511814"/>
    <s v="TRAJE ENTERO ANTIFLUIDO"/>
    <n v="102"/>
    <s v="UNIDAD"/>
    <n v="34061"/>
    <n v="6471.59"/>
    <n v="4134324.1799999997"/>
    <x v="0"/>
  </r>
  <r>
    <x v="17"/>
    <s v="CD 05 DE 2020"/>
    <s v="COMPRA Y ALQUILER DE COMPUTADORES PORTATILES PARA ATENDER AUDIENCIAS VIRTUALES EN EL CONTEXTO DE LA EMERGENCIA SANITARIA"/>
    <d v="2020-03-27T00:00:00"/>
    <d v="2020-03-27T00:00:00"/>
    <n v="56500000"/>
    <n v="0"/>
    <s v="LEONARDO FABIO PERALTA VILLEGAS"/>
    <n v="92640352"/>
    <s v="ADQUISICION COMPUTADORES PORTATILES HP"/>
    <n v="30"/>
    <s v="UNIDAD"/>
    <n v="1685000"/>
    <n v="0"/>
    <n v="50550000"/>
    <x v="21"/>
  </r>
  <r>
    <x v="17"/>
    <s v="CD 05 DE 2020"/>
    <s v="COMPRA Y ALQUILER DE COMPUTADORES PORTATILES PARA ATENDER AUDIENCIAS VIRTUALES EN EL CONTEXTO DE LA EMERGENCIA SANITARIA"/>
    <d v="2020-03-27T00:00:00"/>
    <d v="2020-03-27T00:00:00"/>
    <n v="56500000"/>
    <n v="0"/>
    <s v="LEONARDO FABIO PERALTA VILLEGAS"/>
    <n v="92640352"/>
    <s v="ALQUILER DE 10 COMPUTADORES PORTATILES X 2 MESES"/>
    <n v="20"/>
    <s v="VALOR MENSUAL POR EQUIPO"/>
    <n v="250000"/>
    <n v="47500"/>
    <n v="5950000"/>
    <x v="32"/>
  </r>
  <r>
    <x v="17"/>
    <s v="CD 06 DE 2020"/>
    <s v="COMPRAVENTA DE INSUMOS PARA ATENDER EMERGENCIA SANITARIA OCASIONADA POR EL COVID-19 EN LAS SEDES JUDICIALES DEL DEPARTAMENTO DE SUCRE"/>
    <d v="2020-04-16T00:00:00"/>
    <d v="2020-04-16T00:00:00"/>
    <n v="36963400"/>
    <n v="0"/>
    <s v="ALFA SUPPLIES SAS"/>
    <n v="901008660"/>
    <s v="GAFAS PROTECTORAS TRANSPARENTES DE SEGURIDAD"/>
    <n v="200"/>
    <s v="UNIDAD"/>
    <n v="5882"/>
    <n v="0"/>
    <n v="1176400"/>
    <x v="2"/>
  </r>
  <r>
    <x v="17"/>
    <s v="CD 06 DE 2020"/>
    <s v="COMPRAVENTA DE INSUMOS PARA ATENDER EMERGENCIA SANITARIA OCASIONADA POR EL COVID-19 EN LAS SEDES JUDICIALES DEL DEPARTAMENTO DE SUCRE"/>
    <d v="2020-04-16T00:00:00"/>
    <d v="2020-04-16T00:00:00"/>
    <n v="36963400"/>
    <n v="0"/>
    <s v="ALFA SUPPLIES SAS"/>
    <n v="901008660"/>
    <s v="MASCARILLAS BLANCAS TERMOSELLADAS (TAPABOCAS)"/>
    <n v="12000"/>
    <s v="UNIDAD"/>
    <n v="2352"/>
    <n v="0"/>
    <n v="28224000"/>
    <x v="3"/>
  </r>
  <r>
    <x v="17"/>
    <s v="CD 06 DE 2020"/>
    <s v="COMPRAVENTA DE INSUMOS PARA ATENDER EMERGENCIA SANITARIA OCASIONADA POR EL COVID-19 EN LAS SEDES JUDICIALES DEL DEPARTAMENTO DE SUCRE"/>
    <d v="2020-04-16T00:00:00"/>
    <d v="2020-04-16T00:00:00"/>
    <n v="36963400"/>
    <n v="0"/>
    <s v="ALFA SUPPLIES SAS"/>
    <n v="901008660"/>
    <s v="GUANTES NITRILO TALLA M Y L"/>
    <n v="200"/>
    <s v="CAJA X 100"/>
    <n v="37815"/>
    <n v="0"/>
    <n v="7563000"/>
    <x v="10"/>
  </r>
  <r>
    <x v="17"/>
    <s v="CD 07 DE 2020"/>
    <s v="CONSULTORIA PARA LA ASESORÍA, DISEÑO Y CERTIFICACIÓN DE LA IMPLEMENTACIÓN DEL PROTOCOLO DE ACCESO A SEDES, ESTABLECIDO POR LA DEAJ A TRAVÉS DE LA CIRCULAR DEAJC20-35 DE 5 DE MAYO DE 2020, EN LAS SEDES JUDICIALES DEL DEPARTAMENTO DE SUCRE"/>
    <d v="2020-05-26T00:00:00"/>
    <d v="2020-05-27T00:00:00"/>
    <n v="3800000"/>
    <n v="0"/>
    <s v="ALICIA MARÍA GÁMEZ CAUSIL"/>
    <n v="52516254"/>
    <s v="ASESORIA, DISEÑO Y CERTIF. PROTOCOLOS DE BIOSEGURIDAD"/>
    <n v="1"/>
    <s v="UNIDAD"/>
    <n v="3800000"/>
    <n v="0"/>
    <n v="3800000"/>
    <x v="54"/>
  </r>
  <r>
    <x v="17"/>
    <s v="CD 08 DE 2020"/>
    <s v="ADQUISICIÓN DE TAPETES DE DESINFECCIÓN Y SU SANITIZANTE, PARA TODAS LAS SEDES JUDICIALES DEL DEPARTAMENTO DE SUCRE, EN VIRTUD DE MITIGAR EL RIESGO DE CONTAGIO CON EL COVID-19"/>
    <d v="2020-05-28T00:00:00"/>
    <d v="2020-05-29T00:00:00"/>
    <n v="12842000"/>
    <n v="0"/>
    <s v="COMERCIALIZADORA DA VINCI S.A.S"/>
    <n v="900151140"/>
    <s v="KIT DESINF.TAPETE: 1 TAPETE DESINF. LIQ Y 1 ATRAPA HUMEDAD .55 X .55 MAS SANITIZANTE POR 4,5 LTS"/>
    <n v="23"/>
    <s v="KIT"/>
    <n v="325000"/>
    <n v="0"/>
    <n v="7475000"/>
    <x v="35"/>
  </r>
  <r>
    <x v="17"/>
    <s v="CD 08 DE 2020"/>
    <s v="ADQUISICIÓN DE TAPETES DE DESINFECCIÓN Y SU SANITIZANTE, PARA TODAS LAS SEDES JUDICIALES DEL DEPARTAMENTO DE SUCRE, EN VIRTUD DE MITIGAR EL RIESGO DE CONTAGIO CON EL COVID-19"/>
    <d v="2020-05-28T00:00:00"/>
    <d v="2020-05-29T00:00:00"/>
    <n v="12842000"/>
    <n v="0"/>
    <s v="COMERCIALIZADORA DA VINCI S.A.S"/>
    <n v="900151140"/>
    <s v="KIT DESINF.TAPETE: 1 TAPETE DESINF. LIQ Y 1 ATRAPA HUMEDAD 1,00 X .65 MAS SANITIZANTE POR 4,5 LTS"/>
    <n v="6"/>
    <s v="KIT"/>
    <n v="532000"/>
    <n v="0"/>
    <n v="3192000"/>
    <x v="35"/>
  </r>
  <r>
    <x v="17"/>
    <s v="CD 08 DE 2020"/>
    <s v="ADQUISICIÓN DE TAPETES DE DESINFECCIÓN Y SU SANITIZANTE, PARA TODAS LAS SEDES JUDICIALES DEL DEPARTAMENTO DE SUCRE, EN VIRTUD DE MITIGAR EL RIESGO DE CONTAGIO CON EL COVID-19"/>
    <d v="2020-05-28T00:00:00"/>
    <d v="2020-05-29T00:00:00"/>
    <n v="12842000"/>
    <n v="0"/>
    <s v="COMERCIALIZADORA DA VINCI S.A.S"/>
    <n v="900151140"/>
    <s v="SANITIZANTE SOLUCION RECIPIENTE "/>
    <n v="130.5"/>
    <s v="LITRO"/>
    <n v="16667"/>
    <n v="0"/>
    <n v="2175043.5"/>
    <x v="4"/>
  </r>
  <r>
    <x v="17"/>
    <s v="CD 09 DE 2020"/>
    <s v="SERVICIO DE IMPRESIÓN DE AVISOS INFORMATIVOS Y SEÑALIZACIONES, RELACIONADAS CON MEDIDAS PREVENTIVAS CONTRA EL COVID-19, PARA SER INSTALADAS EN TODAS LAS SEDES JUDICIALES DEL DEPARTAMENTO DE SUCRE"/>
    <d v="2020-05-29T00:00:00"/>
    <d v="2020-05-29T00:00:00"/>
    <n v="3624000"/>
    <n v="0"/>
    <s v="ERNESTO BELTRAN BELTRÁN "/>
    <n v="16471150"/>
    <s v="IMPRESIÓN KITS SEÑALIZACION BIOSEGURIDAD"/>
    <n v="995"/>
    <s v="UNIDAD"/>
    <n v="3642.211055276382"/>
    <n v="0"/>
    <n v="3624000"/>
    <x v="33"/>
  </r>
  <r>
    <x v="17"/>
    <s v="CD 010-2020"/>
    <s v="ADQUISICIÓN DE DISPENSADORES DE PEDAL PARA SUMINISTRO DE GEL ANTIBACTERIAL EN LAS ZONAS COMUNES DE LAS SEDES JUDICIALES DEL DEPARTAMENTO DEL SUCRE COMO MEDIDA DE PREVENCIÓN DE CONTAGIO CON COVID-19"/>
    <d v="2020-06-08T00:00:00"/>
    <d v="2020-06-08T00:00:00"/>
    <n v="2909550"/>
    <n v="0"/>
    <s v="TULIA TERESA OÑATE MONTERO"/>
    <n v="22866793"/>
    <s v="DISPENSADOR DE PEDAL PARA GEL ACERO INOXIDABLE"/>
    <n v="15"/>
    <s v="UNIDAD"/>
    <n v="163000"/>
    <n v="30970"/>
    <n v="2909550"/>
    <x v="12"/>
  </r>
  <r>
    <x v="17"/>
    <s v="CD 12 DE 2020"/>
    <s v="ADQUISICIÓN E INSTALACIÓN DE LAVAMANOS EN ACERO INOXIDABLE PARA FORTALECER LAS MEDIDAS DE PREVENCIÓN DE CONTAGIO CON COVID-19"/>
    <d v="2020-06-19T00:00:00"/>
    <d v="2020-06-19T00:00:00"/>
    <n v="36300000"/>
    <n v="0"/>
    <s v="CARLOS ARTURO HERNANDEZ MARTINEZ"/>
    <n v="92501255"/>
    <s v="LAVAMANOS EN ACERO INOXIDABLE C. 20 CON CONEXIÓN EXTERNA HIDRAULICA Y SANITARIA "/>
    <n v="22"/>
    <s v="UNIDAD"/>
    <n v="1650000"/>
    <n v="0"/>
    <n v="36300000"/>
    <x v="9"/>
  </r>
  <r>
    <x v="17"/>
    <s v="ADICION CD 07 DE 2020"/>
    <s v="CONSULTORIA PARA LA ASESORÍA, DISEÑO Y CERTIFICACIÓN DE LA IMPLEMENTACIÓN DEL PROTOCOLO DE ACCESO A SEDES, ESTABLECIDO POR LA DEAJ A TRAVÉS DE LA CIRCULAR DEAJC20-35 DE 5 DE MAYO DE 2020, EN LAS SEDES JUDICIALES DEL DEPARTAMENTO DE SUCRE"/>
    <d v="2020-06-19T00:00:00"/>
    <d v="2020-05-27T00:00:00"/>
    <n v="0"/>
    <n v="2700000"/>
    <s v="ALICIA MARÍA GÁMEZ CAUSIL"/>
    <n v="52516254"/>
    <s v="ASESORIA, DISEÑO Y CERTIF. PROTOCOLOS DE BIOSEGURIDAD"/>
    <n v="1"/>
    <s v="UNIDAD"/>
    <n v="2700000"/>
    <n v="0"/>
    <n v="2700000"/>
    <x v="54"/>
  </r>
  <r>
    <x v="17"/>
    <s v="CD 13 DE 2020"/>
    <s v="ADQUISICIÓN DE MATERIALES PARA DEMARCACIÓN DE ÁREAS DE DISTANCIAMIENTO SOCIAL, CON EL OBJETIVO DE FORTALECER LAS MEDIDAS DE PREVENCIÓN DE CONTAGIO CON COVID-19 EN TODAS LAS SEDES JUDICIALES DEL DEPARTAMENTO DE SUCRE."/>
    <d v="2020-06-30T00:00:00"/>
    <d v="2020-06-30T00:00:00"/>
    <n v="3120000"/>
    <n v="0"/>
    <s v="REINALDO ENRIQUE HERNANDEZ GOMEZ"/>
    <n v="92527655"/>
    <s v="PINTURA TRÁFICO COLOR AMARILLO"/>
    <n v="8"/>
    <s v="GALON"/>
    <n v="63025"/>
    <n v="11974.75"/>
    <n v="599998"/>
    <x v="33"/>
  </r>
  <r>
    <x v="17"/>
    <s v="CD 13 DE 2020"/>
    <s v="ADQUISICIÓN DE MATERIALES PARA DEMARCACIÓN DE ÁREAS DE DISTANCIAMIENTO SOCIAL, CON EL OBJETIVO DE FORTALECER LAS MEDIDAS DE PREVENCIÓN DE CONTAGIO CON COVID-19 EN TODAS LAS SEDES JUDICIALES DEL DEPARTAMENTO DE SUCRE."/>
    <d v="2020-06-30T00:00:00"/>
    <d v="2020-06-30T00:00:00"/>
    <n v="3120000"/>
    <n v="0"/>
    <s v="REINALDO ENRIQUE HERNANDEZ GOMEZ"/>
    <n v="92527655"/>
    <s v="CINTA DE PELIGRO X 500 MTS"/>
    <n v="40"/>
    <s v="ROLLO X 500 MTS"/>
    <n v="25210.084033613446"/>
    <n v="4789.9159663865548"/>
    <n v="1200000"/>
    <x v="33"/>
  </r>
  <r>
    <x v="17"/>
    <s v="CD 13 DE 2020"/>
    <s v="ADQUISICIÓN DE MATERIALES PARA DEMARCACIÓN DE ÁREAS DE DISTANCIAMIENTO SOCIAL, CON EL OBJETIVO DE FORTALECER LAS MEDIDAS DE PREVENCIÓN DE CONTAGIO CON COVID-19 EN TODAS LAS SEDES JUDICIALES DEL DEPARTAMENTO DE SUCRE."/>
    <d v="2020-06-30T00:00:00"/>
    <d v="2020-06-30T00:00:00"/>
    <n v="3120000"/>
    <n v="0"/>
    <s v="REINALDO ENRIQUE HERNANDEZ GOMEZ"/>
    <n v="92527655"/>
    <s v="CINTA ANTIDESLIZANTE X 5 MTS"/>
    <n v="60"/>
    <s v="ROLLO X 5 MTS"/>
    <n v="18487.394957983193"/>
    <n v="3512.6050420168067"/>
    <n v="1320000"/>
    <x v="33"/>
  </r>
  <r>
    <x v="17"/>
    <s v="CD 14 DE 2020"/>
    <s v="ADQUISICIÓN DE CÁMARAS WEB, MINI-PARLANTES Y LECTORES DE CÓDIGO DE BARRAS Y QR PARA COMPUTADORES, EN VIRTUD DE FORTALECER LAS HERRAMIENTAS TECNOLÓGICAS PARA LA PRESTACIÓN DEL SERVICIO DE JUSTICIA EN MEDIO DE LA EMERGENCIA SANITARIA OCASIONADA POR EL COVID-19"/>
    <d v="2020-07-10T00:00:00"/>
    <d v="2020-07-13T00:00:00"/>
    <n v="140991200"/>
    <n v="0"/>
    <s v="CREAR DE COLOMBIA S.A.S."/>
    <n v="900564459"/>
    <s v="WEBCAM - HDR, CAMPO VISUAL AJUSTABLE, ENFOQUE AUTOMÁTICO, ZOOM DIGITAL, GRAN PANORÁMICA, MICRÓFONO OMNIDIRECCIONAL, SENSOR DE INFRARROJO, CLIP UNIVERSAL, LENTE DE CRISTAL_x000a_"/>
    <n v="300"/>
    <s v="UNIDAD"/>
    <n v="330000"/>
    <n v="62700"/>
    <n v="117810000"/>
    <x v="18"/>
  </r>
  <r>
    <x v="17"/>
    <s v="CD 14 DE 2020"/>
    <s v="ADQUISICIÓN DE CÁMARAS WEB, MINI-PARLANTES Y LECTORES DE CÓDIGO DE BARRAS Y QR PARA COMPUTADORES, EN VIRTUD DE FORTALECER LAS HERRAMIENTAS TECNOLÓGICAS PARA LA PRESTACIÓN DEL SERVICIO DE JUSTICIA EN MEDIO DE LA EMERGENCIA SANITARIA OCASIONADA POR EL COVID-19"/>
    <d v="2020-07-10T00:00:00"/>
    <d v="2020-07-13T00:00:00"/>
    <n v="140991200"/>
    <n v="0"/>
    <s v="CREAR DE COLOMBIA S.A.S."/>
    <n v="900564459"/>
    <s v="MINI PARLANTES - SALIDA RMS DE 1.5 VATIOS, POTENCIA DE 3 VATIOS, ENERGÍA SUMINISTRADA POR PUERTO USB DEL PC, CONTROL DE VOLUMEN_x000a_"/>
    <n v="300"/>
    <s v="PAR"/>
    <n v="43600"/>
    <n v="8284"/>
    <n v="15565200"/>
    <x v="55"/>
  </r>
  <r>
    <x v="17"/>
    <s v="CD 14 DE 2020"/>
    <s v="ADQUISICIÓN DE CÁMARAS WEB, MINI-PARLANTES Y LECTORES DE CÓDIGO DE BARRAS Y QR PARA COMPUTADORES, EN VIRTUD DE FORTALECER LAS HERRAMIENTAS TECNOLÓGICAS PARA LA PRESTACIÓN DEL SERVICIO DE JUSTICIA EN MEDIO DE LA EMERGENCIA SANITARIA OCASIONADA POR EL COVID-19"/>
    <d v="2020-07-10T00:00:00"/>
    <d v="2020-07-13T00:00:00"/>
    <n v="140991200"/>
    <n v="0"/>
    <s v="CREAR DE COLOMBIA S.A.S."/>
    <n v="900564459"/>
    <s v="LECTORA CODIGO DE BARRAS Y QR -TIPO IMAGEN LINEAL, LECTURA DE CÓDIGOS 1D/2D, CONEXIÓN USB O INALÁMBRICA, DISPARADOR MANUAL O  AUTOMÁTICO._x000a_(CONTROL DE ACCESO SEDES JUDICIALES CON EL PROGRAMA ENKI)"/>
    <n v="8"/>
    <s v="UNIDAD"/>
    <n v="800000"/>
    <n v="152000"/>
    <n v="7616000"/>
    <x v="56"/>
  </r>
  <r>
    <x v="17"/>
    <s v="OC 49099"/>
    <s v="LA ADQUISICIÓN DE ELEMENTOS DE PROTECCIÓN PERSONAL E INSUMOS DE ASEO PARA PREVENIR LA PROPAGACIÓN DEL CORONAVIRUS COVID-19 EN LAS SEDES JUDICIALES DEL DEPARTAMENTO DE SUCRE"/>
    <d v="2020-05-20T00:00:00"/>
    <d v="2020-05-20T00:00:00"/>
    <n v="14137298"/>
    <n v="0"/>
    <s v="CLAUDIA PATRICIA MURILLO"/>
    <n v="66973463"/>
    <s v="TAPABOCAS DOBLE TELA LAVABLE "/>
    <n v="9400"/>
    <s v="UNIDAD"/>
    <n v="1489.2553"/>
    <n v="0"/>
    <n v="13998999.82"/>
    <x v="3"/>
  </r>
  <r>
    <x v="17"/>
    <s v="OC 49117"/>
    <s v="LA ADQUISICIÓN DE ELEMENTOS DE PROTECCIÓN PERSONAL E INSUMOS DE ASEO PARA PREVENIR LA PROPAGACIÓN DEL CORONAVIRUS COVID-19 EN LAS SEDES JUDICIALES DEL DEPARTAMENTO DE SUCRE"/>
    <d v="2020-05-23T00:00:00"/>
    <d v="2020-05-23T00:00:00"/>
    <n v="27680850.550000001"/>
    <n v="0"/>
    <s v="INDUHOTEL SAS"/>
    <n v="900300970"/>
    <s v="TAPABOCAS DESECHABLE "/>
    <n v="20000"/>
    <s v="UNIDAD"/>
    <n v="1372.3404"/>
    <n v="0"/>
    <n v="27446808"/>
    <x v="3"/>
  </r>
  <r>
    <x v="17"/>
    <s v="OC 49291"/>
    <s v="LA ADQUISICIÓN DE ELEMENTOS DE PROTECCIÓN PERSONAL E INSUMOS DE ASEO PARA PREVENIR LA PROPAGACIÓN DEL CORONAVIRUS COVID-19 EN LAS SEDES JUDICIALES DEL DEPARTAMENTO DE SUCRE"/>
    <d v="2020-05-28T00:00:00"/>
    <d v="2020-05-28T00:00:00"/>
    <n v="2297873"/>
    <n v="0"/>
    <s v="DIGILED TECHNOLOGY S.A.S"/>
    <n v="901104771"/>
    <s v="DESINFECTANTE A BASE DE CLORO - HIPOCLORITO GALON (200 GALONES)"/>
    <n v="757"/>
    <s v="LITRO"/>
    <n v="2614"/>
    <n v="0"/>
    <n v="1978798"/>
    <x v="46"/>
  </r>
  <r>
    <x v="17"/>
    <s v="OC 49292"/>
    <s v="LA ADQUISICIÓN DE ELEMENTOS DE PROTECCIÓN PERSONAL E INSUMOS DE ASEO PARA PREVENIR LA PROPAGACIÓN DEL CORONAVIRUS COVID-19 EN LAS SEDES JUDICIALES DEL DEPARTAMENTO DE SUCRE"/>
    <d v="2020-05-28T00:00:00"/>
    <d v="2020-05-28T00:00:00"/>
    <n v="1729522.14"/>
    <n v="0"/>
    <s v="TENSOACTIVOS SG SAS"/>
    <n v="805023817"/>
    <s v="ALCOHOL ANTISEPTICO"/>
    <n v="189"/>
    <s v="LITRO"/>
    <n v="7869.75"/>
    <n v="0"/>
    <n v="1487382.75"/>
    <x v="26"/>
  </r>
  <r>
    <x v="17"/>
    <s v="OC 49884"/>
    <s v="COMPRAVENTA DE INSUMOS PARA ATENDER EMERGENCIA SANITARIA OCASIONADA POR EL COVID-19 EN LAS SEDES JUDICIALES DEL DEPARTAMENTO DE SUCRE."/>
    <d v="2020-06-04T00:00:00"/>
    <d v="2020-06-04T00:00:00"/>
    <n v="12492569"/>
    <n v="0"/>
    <s v="OFIBEST S.A.S"/>
    <n v="900350133"/>
    <s v="TOALLAS DESECHABLES PARA MANOS EN Z"/>
    <n v="1568"/>
    <s v="PAQUETE"/>
    <n v="5212.7700000000004"/>
    <n v="990.42630000000008"/>
    <n v="9726611.7984000016"/>
    <x v="8"/>
  </r>
  <r>
    <x v="17"/>
    <s v="OC 49899"/>
    <s v="COMPRAVENTA DE INSUMOS PARA ATENDER EMERGENCIA SANITARIA OCASIONADA POR EL COVID-19 EN LAS SEDES JUDICIALES DEL DEPARTAMENTO DE SUCRE."/>
    <d v="2020-06-04T00:00:00"/>
    <d v="2020-06-04T00:00:00"/>
    <n v="4440238.3"/>
    <n v="0"/>
    <s v="AESTHETICS &amp; MEDICAL SOLUTIONS SAS"/>
    <n v="900567130"/>
    <s v="JABON LIQUIDO DISPENSADOR MANOS"/>
    <n v="787"/>
    <s v="LITRO"/>
    <n v="4610"/>
    <n v="0"/>
    <n v="3628070"/>
    <x v="5"/>
  </r>
  <r>
    <x v="17"/>
    <s v="OC 50035"/>
    <s v="COMPRAVENTA DE PROTECTORES FACIALES PARA ATENDER EMERGENCIA SANITARIA OCASIONADA POR EL COVID-19 EN LAS SEDES JUDICIALES DEL DEPARTAMENTO DE SUCRE"/>
    <d v="2020-06-05T00:00:00"/>
    <d v="2020-06-05T00:00:00"/>
    <n v="4308511.47"/>
    <n v="0"/>
    <s v="ABBAPLAX SAS"/>
    <n v="860062147"/>
    <s v="CARETAS VISORES"/>
    <n v="300"/>
    <s v="UNIDAD"/>
    <n v="13829.79"/>
    <n v="0"/>
    <n v="4148937.0000000005"/>
    <x v="11"/>
  </r>
  <r>
    <x v="17"/>
    <s v="OC 50278"/>
    <s v="ADQUISICIÓN DE TERMÓMETROS INFRARROJOS SIN CONTACTO, PARA SER DISPUESTOS EN LAS SEDES JUDICIALES DEL DEPARTAMENTO DE SUCRE, EN VIRTUD DE MITIGAR EL RIESGO DE CONTAGIO CON EL COVID-19"/>
    <d v="2020-06-10T00:00:00"/>
    <d v="2020-06-10T00:00:00"/>
    <n v="9148936.2300000004"/>
    <n v="0"/>
    <s v="HB INTERNATIONAL CORP SOCIEDAD POR ACCIONES SIMPLIFICADA SAS"/>
    <n v="900257066"/>
    <s v="TERMOMETRO INFRAROJO SIN CONTACTO"/>
    <n v="25"/>
    <s v="UNIDAD"/>
    <n v="361702.13"/>
    <n v="0"/>
    <n v="9042553.25"/>
    <x v="22"/>
  </r>
  <r>
    <x v="17"/>
    <s v="OC 50303"/>
    <s v="COMPRAVENTA DE CANECAS DE BIOSEGURIDAD PARA LAS SEDES JUDICIALES DEL DEPARTAMENTO DE SUCRE, CON EL FIN DE MITIGAR EL RIESGO DE CONTAGIO DEL COVID-19"/>
    <d v="2020-06-11T00:00:00"/>
    <d v="2020-06-11T00:00:00"/>
    <n v="3262680"/>
    <n v="0"/>
    <s v="PANAMERICANA LIBRERÍA Y PAPELERÍA S.A."/>
    <n v="830037946"/>
    <s v="CANECAS PLASTICAS ROJAS DE PEDAL, TAMAÑO 20 LT"/>
    <n v="54"/>
    <s v="UNIDAD"/>
    <n v="50773.10924369748"/>
    <n v="9646.8907563025205"/>
    <n v="3262680"/>
    <x v="15"/>
  </r>
  <r>
    <x v="17"/>
    <s v="OC 50492"/>
    <s v="COMPRAVENTA DE ALCOHOL ISOPROPILICO AL 70% GEL PARA ATENDER EMERGENCIA SANITARIA OCASIONADA POR EL COVID-19 EN LAS SEDES JUDICIALES DEL DEPARTAMENTO DE SUCRE"/>
    <d v="2020-06-16T00:00:00"/>
    <d v="2020-06-16T00:00:00"/>
    <n v="7473404"/>
    <n v="0"/>
    <s v="PMI PROYECTOS MONTAJES E INGENIERIA"/>
    <n v="900704052"/>
    <s v="ALCOHOL ISOPROPILICO 70% EN GEL PARA ANTISEPSIA"/>
    <n v="549"/>
    <s v="LITRO"/>
    <n v="12648"/>
    <n v="0"/>
    <n v="6943752"/>
    <x v="4"/>
  </r>
  <r>
    <x v="17"/>
    <s v="OC 51158"/>
    <s v="COMPRAVENTA DE GUANTES DE NITRILO PARA ATENDER EMERGENCIA SANITARIA OCASIONADA POR EL COVID-19 EN LAS SEDES JUDICIALES DEL DEPARTAMENTO DE SUCRE"/>
    <d v="2020-06-26T00:00:00"/>
    <d v="2020-06-26T00:00:00"/>
    <n v="5828191.8300000001"/>
    <n v="0"/>
    <s v="INDUHOTEL SAS"/>
    <n v="900300970"/>
    <s v="GUANTES DE NITRILO "/>
    <n v="115"/>
    <s v="CAJA X 100"/>
    <n v="49893.62"/>
    <n v="0"/>
    <n v="5737766.3000000007"/>
    <x v="10"/>
  </r>
  <r>
    <x v="17"/>
    <s v="OC 52370"/>
    <s v="COMPRAVENTA DE ALCOHOL ANTISEPTICO AL 70% PARA ATENDER EMERGENCIA SANITARIA OCASIONADA POR EL COVID-19 EN LAS SEDES JUDICIALES DEL DEPARTAMENTO DE SUCRE"/>
    <d v="2020-07-21T00:00:00"/>
    <d v="2020-07-21T00:00:00"/>
    <n v="5100093"/>
    <n v="0"/>
    <s v="COSMETICOS SAMY SA"/>
    <n v="811008383"/>
    <s v="ALCOHOL"/>
    <n v="1022"/>
    <s v="LITRO"/>
    <n v="4413"/>
    <n v="0"/>
    <n v="4510086"/>
    <x v="26"/>
  </r>
  <r>
    <x v="17"/>
    <s v="ADICION LP 01 DE 2019"/>
    <s v="LA PRESTACIÓN DEL SERVICIO DE VIGILANCIA Y SEGURIDAD PRIVADA, CON DESTINO A LOS DIFERENTES DESPACHOS JUDICIALES Y SEDES ADMINISTRATIVAS A CARGO DE LA DIRECCIÓN EJECUTIVA SECCIONAL DE ADMINISTRACIÓN JUDICIAL DE SINCELEJO"/>
    <d v="2029-11-08T00:00:00"/>
    <d v="2020-03-17T00:00:00"/>
    <n v="0"/>
    <n v="5308690"/>
    <s v="VIPERS LTDA"/>
    <n v="800209088"/>
    <s v="PRESTACION SERVICIO DE VIGILANCIA CON TOMA DE TEMPERATURA, A TRAVES DE TERMOMETRO INFRARROJO EN 10 PUESTOS DE VIGILANCIA DE LAS DIFERENTES SEDES JUDICIALES DEL DPTO DE SUCRE "/>
    <n v="10"/>
    <s v="VALOR MENSUAL POR PERSONA"/>
    <n v="530869"/>
    <n v="0"/>
    <n v="5308690"/>
    <x v="6"/>
  </r>
  <r>
    <x v="17"/>
    <s v="ADICION LP 02 DE 2019"/>
    <s v="EL SERVICIO DE ASEO Y MANTENIMIENTO BÁSICO, CON INSUMOS Y MAQUINARIA INCLUIDA, LIMPIEZA DE JARDINES Y EQUIPOS PARA LAS SEDES JUDICIALES QUE CONFORMAN EL DISTRITO JUDICIAL DE SINCELEJO"/>
    <d v="2019-11-01T00:00:00"/>
    <d v="2020-03-16T00:00:00"/>
    <n v="0"/>
    <n v="31068000"/>
    <s v="DON ASEO LTDA"/>
    <n v="812000152"/>
    <s v="ALCOHOL GLICERINADO AL 92%"/>
    <n v="400"/>
    <s v="LITRO"/>
    <n v="11000"/>
    <n v="0"/>
    <n v="4400000"/>
    <x v="4"/>
  </r>
  <r>
    <x v="17"/>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JABON LIQUIDO ANTIBACTERIAL"/>
    <n v="400"/>
    <s v="LITRO"/>
    <n v="6000"/>
    <n v="0"/>
    <n v="2400000"/>
    <x v="5"/>
  </r>
  <r>
    <x v="17"/>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VINAGRE BLANCO PARA REALIZAR LIMPIEZA DE PISOS"/>
    <n v="76"/>
    <s v="LITRO"/>
    <n v="3170"/>
    <n v="0"/>
    <n v="240920"/>
    <x v="57"/>
  </r>
  <r>
    <x v="17"/>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GUANTES DE NITRILO "/>
    <n v="15"/>
    <s v="CAJA X 100"/>
    <n v="44000"/>
    <n v="0"/>
    <n v="660000"/>
    <x v="10"/>
  </r>
  <r>
    <x v="17"/>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BLANQUEADOR DESINFECTANTE LIQUIDO"/>
    <n v="400"/>
    <s v="LITRO"/>
    <n v="1750"/>
    <n v="0"/>
    <n v="700000"/>
    <x v="23"/>
  </r>
  <r>
    <x v="17"/>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DETERGENTE EN POLVO"/>
    <n v="100"/>
    <s v="UNIDAD"/>
    <n v="4200"/>
    <n v="0"/>
    <n v="420000"/>
    <x v="46"/>
  </r>
  <r>
    <x v="17"/>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TAPABOCAS DESECHABLES  "/>
    <n v="6500"/>
    <s v="UNIDAD"/>
    <n v="1800"/>
    <n v="0"/>
    <n v="11700000"/>
    <x v="3"/>
  </r>
  <r>
    <x v="17"/>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ALCOHOL GLICERINADO AL 92%"/>
    <n v="400"/>
    <s v="LITRO"/>
    <n v="11000"/>
    <n v="0"/>
    <n v="4400000"/>
    <x v="4"/>
  </r>
  <r>
    <x v="17"/>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JABON LIQUIDO ANTIBACTERIAL"/>
    <n v="400"/>
    <s v="LITRO"/>
    <n v="6000"/>
    <n v="0"/>
    <n v="2400000"/>
    <x v="5"/>
  </r>
  <r>
    <x v="17"/>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VINAGRE BLANCO PARA REALIZAR LIMPIEZA DE PISOS"/>
    <n v="114"/>
    <s v="LITRO"/>
    <n v="3170"/>
    <n v="0"/>
    <n v="361380"/>
    <x v="57"/>
  </r>
  <r>
    <x v="17"/>
    <s v="ADICION LP 02 DE 2019"/>
    <s v="EL SERVICIO DE ASEO Y MANTENIMIENTO BÁSICO, CON INSUMOS Y MAQUINARIA INCLUIDA, LIMPIEZA DE JARDINES Y EQUIPOS PARA LAS SEDES JUDICIALES QUE CONFORMAN EL DISTRITO JUDICIAL DE SINCELEJO"/>
    <d v="2019-11-01T00:00:00"/>
    <d v="2020-04-15T00:00:00"/>
    <n v="0"/>
    <n v="31068000"/>
    <s v="DON ASEO LTDA"/>
    <n v="812000152"/>
    <s v="BLANQUEADOR DESINFECTANTE LIQUIDO"/>
    <n v="379"/>
    <s v="LITRO"/>
    <n v="1849"/>
    <n v="0"/>
    <n v="700771"/>
    <x v="23"/>
  </r>
  <r>
    <x v="17"/>
    <s v="ADICION LP 02 DE 2019"/>
    <s v="EL SERVICIO DE ASEO Y MANTENIMIENTO BÁSICO, CON INSUMOS Y MAQUINARIA INCLUIDA, LIMPIEZA DE JARDINES Y EQUIPOS PARA LAS SEDES JUDICIALES QUE CONFORMAN EL DISTRITO JUDICIAL DE SINCELEJO"/>
    <d v="2019-11-01T00:00:00"/>
    <d v="2020-05-29T00:00:00"/>
    <n v="0"/>
    <n v="31068000"/>
    <s v="DON ASEO LTDA"/>
    <n v="812000152"/>
    <s v="TOALLAS DESECHABLES PARA MANOS EN Z"/>
    <n v="672"/>
    <s v="PAQUETE"/>
    <n v="4000"/>
    <n v="0"/>
    <n v="2688000"/>
    <x v="8"/>
  </r>
  <r>
    <x v="18"/>
    <s v="007 DE 2020 "/>
    <s v="COMPRA DE TRAJES BIOMEDICOS Y GEL ANTIBACTERIAL "/>
    <d v="2020-03-18T00:00:00"/>
    <d v="2020-03-18T00:00:00"/>
    <n v="11223366"/>
    <n v="0"/>
    <s v="TECHNICAL SOLUTIONS SAFETY SAS"/>
    <n v="901095058"/>
    <s v="TRAJES BIOMEDICOS CONTRA SALPICADIRAS Y PARTICULAS"/>
    <n v="300"/>
    <s v="UNIDAD"/>
    <n v="15000"/>
    <n v="2850"/>
    <n v="5355000"/>
    <x v="0"/>
  </r>
  <r>
    <x v="18"/>
    <s v="007 DE 2020 "/>
    <s v="COMPRA DE TRAJES BIOMEDICOS Y GEL ANTIBACTERIAL "/>
    <d v="2020-03-18T00:00:00"/>
    <d v="2020-03-18T00:00:00"/>
    <n v="11223366"/>
    <n v="0"/>
    <s v="TECHNICAL SOLUTIONS SAFETY SAS"/>
    <n v="901095058"/>
    <s v="GEL ANTIBACTERIAL GLICERIADO, ALCOHOL GELA LA 65%, "/>
    <n v="160"/>
    <s v="LITRO"/>
    <n v="29571.25"/>
    <n v="5618.5375000000004"/>
    <n v="5630366"/>
    <x v="4"/>
  </r>
  <r>
    <x v="18"/>
    <s v="009 DE 2020 "/>
    <s v="COMPRA DE GUANTES Y GEL ANTIBACTERIAL "/>
    <d v="2020-03-19T00:00:00"/>
    <d v="2020-03-19T00:00:00"/>
    <n v="29028000"/>
    <n v="0"/>
    <s v="FUNDACION GENERACIONES DE PAZ "/>
    <n v="900837029"/>
    <s v="GEL ANTIBACTERIAL EN PRESENTACION DE "/>
    <n v="200"/>
    <s v="LITRO"/>
    <n v="25000"/>
    <n v="4750"/>
    <n v="5950000"/>
    <x v="4"/>
  </r>
  <r>
    <x v="18"/>
    <s v="009 DE 2020 "/>
    <s v="COMPRA DE GUANTES Y GEL ANTIBACTERIAL "/>
    <d v="2020-03-19T00:00:00"/>
    <d v="2020-03-19T00:00:00"/>
    <n v="29028000"/>
    <n v="0"/>
    <s v="FUNDACION GENERACIONES DE PAZ "/>
    <n v="900837029"/>
    <s v="DISPENSADORES PLASTICOS CON GEL, EN PRESENTACION POR 500 MILILITROS"/>
    <n v="100"/>
    <s v="UNIDAD"/>
    <n v="60000"/>
    <n v="11400"/>
    <n v="7140000"/>
    <x v="12"/>
  </r>
  <r>
    <x v="18"/>
    <s v="009 DE 2020 "/>
    <s v="COMPRA DE GUANTES Y GEL ANTIBACTERIAL "/>
    <d v="2020-03-19T00:00:00"/>
    <d v="2020-03-19T00:00:00"/>
    <n v="29028000"/>
    <n v="0"/>
    <s v="FUNDACION GENERACIONES DE PAZ "/>
    <n v="900837029"/>
    <s v="TAPABOCAS DESECHABLES "/>
    <n v="9300"/>
    <s v="UNIDAD"/>
    <n v="1394.9579831932774"/>
    <n v="265.0420168067227"/>
    <n v="15438000"/>
    <x v="3"/>
  </r>
  <r>
    <x v="18"/>
    <s v="016 DE 2020 "/>
    <s v="COMPRA DE ALCOHOL ETÍLICO "/>
    <d v="2020-04-29T00:00:00"/>
    <d v="2020-05-01T00:00:00"/>
    <n v="5747700"/>
    <n v="0"/>
    <s v="CONSORCIO LIDER 2019 "/>
    <n v="901346165"/>
    <s v="ALCOHOL ANTISEPTICO AL 70% "/>
    <n v="735"/>
    <s v="LITRO"/>
    <n v="7820"/>
    <n v="0"/>
    <n v="5747700"/>
    <x v="26"/>
  </r>
  <r>
    <x v="18"/>
    <s v="020 DE 2020 "/>
    <s v="COMPRA DE 1254 PAQUETES DE TOALLAS DE PAPEL DESECHABLES POR 150 UNIDADES"/>
    <d v="2020-05-13T00:00:00"/>
    <d v="2020-05-15T00:00:00"/>
    <n v="7796118"/>
    <n v="0"/>
    <s v="INSMEVET S DE C. "/>
    <n v="900311030"/>
    <s v="TOALLAS DE PAPEL DESECHABLES PARA MANOS EN PRESENTACION DE PAQUETE POR 150 UNIDADES"/>
    <n v="1254"/>
    <s v="PAQUETE"/>
    <n v="6216.9999989999997"/>
    <n v="0"/>
    <n v="7796117.9987459993"/>
    <x v="8"/>
  </r>
  <r>
    <x v="18"/>
    <s v="024 DE 2020 "/>
    <s v="COMPRA DE 4000 MASCARILLAS DE TELA LAVABLES"/>
    <d v="2020-05-15T00:00:00"/>
    <d v="2020-05-18T00:00:00"/>
    <n v="13396000"/>
    <n v="0"/>
    <s v="COMERCILIZADORA ARTURO CALLE S.A.S"/>
    <n v="900342297"/>
    <s v="MASCARILLA DE TELA LAVABLE HASTA 60 LAVADAS"/>
    <n v="4000"/>
    <s v="UNIDAD"/>
    <n v="3349"/>
    <n v="0"/>
    <n v="13396000"/>
    <x v="3"/>
  </r>
  <r>
    <x v="18"/>
    <s v="025 DE 2020 "/>
    <s v="COMPRA DE 14 TERMOMETROS DIGITALES"/>
    <d v="2020-05-21T00:00:00"/>
    <d v="2020-05-21T00:00:00"/>
    <n v="9028390"/>
    <n v="0"/>
    <s v="INTEGRATE SOLUCIONES DE ELECTRONICA Y SOFTWARE SAS"/>
    <n v="900676378"/>
    <s v="TERMOMETRO INFRAROJO PARA MEDICION DE TEMPERATURA CORPORAL DE MAYOR SENSIBILIDAD ENTRE 5 Y 15 CENTIMETRO, PARA EVITAR EL CONTACTO ESTRECHO, MEDICION DE TEMPERATURA SOBRE SUPERFICIES"/>
    <n v="14"/>
    <s v="UNIDAD"/>
    <n v="583600"/>
    <n v="0"/>
    <n v="8170400"/>
    <x v="22"/>
  </r>
  <r>
    <x v="18"/>
    <s v="025 DE 2020 "/>
    <s v="COMPRA DE 14 TERMOMETROS DIGITALES"/>
    <d v="2020-05-21T00:00:00"/>
    <d v="2020-05-21T00:00:00"/>
    <n v="9028390"/>
    <n v="0"/>
    <s v="INTEGRATE SOLUCIONES DE ELECTRONICA Y SOFTWARE SAS"/>
    <n v="900676378"/>
    <s v="CARGADOR Y BATERIAS RECARGABLES CON DURACION DE 1000 CICLOS, APROXIMADAMENTE 3 AÑOS"/>
    <n v="14"/>
    <s v="UNIDAD"/>
    <n v="51500"/>
    <n v="9785"/>
    <n v="857990"/>
    <x v="36"/>
  </r>
  <r>
    <x v="18"/>
    <s v="029 DE 2020 "/>
    <s v="COMPRA DE CIENTO VEINTE (120) BOTELLAS DE 750 ML Y OCHENTA (80) GALONES DE 3750 ML DE ALCOHOL ETÍLICO AL 70%"/>
    <d v="2020-05-28T00:00:00"/>
    <d v="2020-06-01T00:00:00"/>
    <n v="3040254"/>
    <n v="0"/>
    <s v="CONSORCIO LIDER 2019 "/>
    <n v="901346165"/>
    <s v="ALCOHOL ANTISEPTICO AL 70%"/>
    <n v="100"/>
    <s v="LITRO"/>
    <n v="7152.54"/>
    <n v="0"/>
    <n v="715254"/>
    <x v="26"/>
  </r>
  <r>
    <x v="18"/>
    <s v="029 DE 2020 "/>
    <s v="COMPRA DE CIENTO VEINTE (120) BOTELLAS DE 750 ML Y OCHENTA (80) GALONES DE 3750 ML DE ALCOHOL ETÍLICO AL 70%"/>
    <d v="2020-05-28T00:00:00"/>
    <d v="2020-06-01T00:00:00"/>
    <n v="3040254"/>
    <n v="0"/>
    <s v="CONSORCIO LIDER 2019 "/>
    <n v="901346165"/>
    <s v="ALCOHOL ANTISEPTICO AL 70% "/>
    <n v="300"/>
    <s v="LITRO"/>
    <n v="7750"/>
    <n v="0"/>
    <n v="2325000"/>
    <x v="26"/>
  </r>
  <r>
    <x v="18"/>
    <s v="032 DE 2020 "/>
    <s v="LA COMPRA DE CIENTO SESENTA Y TRES (163) CAJAS DE GUANTES DE NITRILO, POR 100 UNIDADES CADA UNA"/>
    <d v="2020-06-03T00:00:00"/>
    <d v="2020-06-03T00:00:00"/>
    <n v="7742500"/>
    <n v="0"/>
    <s v="ADRIAN SUAREZ GARCIA "/>
    <n v="1057514074"/>
    <s v="GUANTES DE NITRILO EN PRESENTACION DE CAJA POR 100 UNIDADES"/>
    <n v="163"/>
    <s v="CAJA X 100"/>
    <n v="47500"/>
    <n v="0"/>
    <n v="7742500"/>
    <x v="10"/>
  </r>
  <r>
    <x v="18"/>
    <s v="033  DE 2020 "/>
    <s v="LA COMPRA DE QUINCE (15) DISPENSADORES DE PEDAL EN ACERO INOXIDABLE"/>
    <d v="2020-06-03T00:00:00"/>
    <d v="2020-06-03T00:00:00"/>
    <n v="2231250"/>
    <n v="0"/>
    <s v="ACCEVID S.A.S"/>
    <n v="900112885"/>
    <s v="DISPENSADOR PARA GEL DE PEDAL EN ACERO ACERO INOXIDABLE PARA EMPOTRAR A LA PARED"/>
    <n v="15"/>
    <s v="UNIDAD"/>
    <n v="125000"/>
    <n v="23750"/>
    <n v="2231250"/>
    <x v="12"/>
  </r>
  <r>
    <x v="18"/>
    <s v="034  DE 2020 "/>
    <s v="LA COMPRA DE JABON ANTIBACTERIAL "/>
    <d v="2020-06-05T00:00:00"/>
    <d v="2020-06-05T00:00:00"/>
    <n v="2485303.5"/>
    <n v="0"/>
    <s v="AESTHETICS &amp; MEDICAL SOLUTIONS SAS"/>
    <n v="900567130"/>
    <s v="JABON DISPENSADOR PARA MANOS"/>
    <n v="562"/>
    <s v="LITRO"/>
    <n v="4422.2482206405693"/>
    <n v="0"/>
    <n v="2485303.5"/>
    <x v="5"/>
  </r>
  <r>
    <x v="18"/>
    <s v="035  DE 2020 "/>
    <s v="LA COMPRA DE MIL SEISCIENTAS (1600) CARETAS VISOR"/>
    <d v="2020-06-12T00:00:00"/>
    <d v="2020-06-12T00:00:00"/>
    <n v="11313136"/>
    <n v="0"/>
    <s v="PLASTICOS FENIX SAS"/>
    <n v="890307682"/>
    <s v="CARETAS VISORES - PROTECTOR FACIAL"/>
    <n v="1600"/>
    <s v="UNIDAD"/>
    <n v="7070.71"/>
    <n v="0"/>
    <n v="11313136"/>
    <x v="11"/>
  </r>
  <r>
    <x v="18"/>
    <s v="037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6-20T00:00:00"/>
    <d v="2020-06-23T00:00:00"/>
    <n v="8000000"/>
    <n v="0"/>
    <s v="SANDRA MILENA BARRERA SALAMANCA"/>
    <n v="46674022"/>
    <s v="PERSONAL DE APOYO VIGIAS DE SALUD PARA VELAR POR EL CUMPLIENTO DE PROTOCOLOS DE BIOSEGURIDAD (POR 5 MESES)"/>
    <n v="1"/>
    <s v="VALOR MENSUAL POR PERSONA"/>
    <n v="1600000"/>
    <n v="0"/>
    <n v="8000000"/>
    <x v="6"/>
  </r>
  <r>
    <x v="18"/>
    <s v="038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6-20T00:00:00"/>
    <d v="2020-06-23T00:00:00"/>
    <n v="8000000"/>
    <n v="0"/>
    <s v="LISETH JOHANNA SIERRA LOPEZ"/>
    <n v="1057600328"/>
    <s v="PERSONAL DE APOYO VIGIAS DE SALUD PARA VELAR POR EL CUMPLIENTO DE PROTOCOLOS DE BIOSEGURIDAD (POR 5 MESES)"/>
    <n v="1"/>
    <s v="VALOR MENSUAL POR PERSONA"/>
    <n v="1600000"/>
    <n v="0"/>
    <n v="8000000"/>
    <x v="6"/>
  </r>
  <r>
    <x v="18"/>
    <s v="039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6-20T00:00:00"/>
    <d v="2020-06-23T00:00:00"/>
    <n v="8000000"/>
    <n v="0"/>
    <s v="DAYANA FERNANDA CORREA SUESCUN "/>
    <n v="1049620718"/>
    <s v="PERSONAL DE APOYO VIGIAS DE SALUD PARA VELAR POR EL CUMPLIENTO DE PROTOCOLOS DE BIOSEGURIDAD (POR 5 MESES)"/>
    <n v="1"/>
    <s v="VALOR MENSUAL POR PERSONA"/>
    <n v="1600000"/>
    <n v="0"/>
    <n v="8000000"/>
    <x v="6"/>
  </r>
  <r>
    <x v="18"/>
    <s v="040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6-23T00:00:00"/>
    <d v="2020-06-24T00:00:00"/>
    <n v="8000000"/>
    <n v="0"/>
    <s v="ELIANA VIRGINIA SIERRA ORTEGON"/>
    <n v="1002523080"/>
    <s v="PERSONAL DE APOYO VIGIAS DE SALUD PARA VELAR POR EL CUMPLIENTO DE PROTOCOLOS DE BIOSEGURIDAD (POR 5 MESES)"/>
    <n v="1"/>
    <s v="VALOR MENSUAL POR PERSONA"/>
    <n v="1600000"/>
    <n v="0"/>
    <n v="8000000"/>
    <x v="6"/>
  </r>
  <r>
    <x v="18"/>
    <s v="041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6-24T00:00:00"/>
    <d v="2020-06-25T00:00:00"/>
    <n v="8000000"/>
    <n v="0"/>
    <s v="LUISA LILIANA PIAMONTE PULIDO"/>
    <n v="1055312482"/>
    <s v="PERSONAL DE APOYO VIGIAS DE SALUD PARA VELAR POR EL CUMPLIENTO DE PROTOCOLOS DE BIOSEGURIDAD (POR 5 MESES)"/>
    <n v="1"/>
    <s v="VALOR MENSUAL POR PERSONA"/>
    <n v="1600000"/>
    <n v="0"/>
    <n v="8000000"/>
    <x v="6"/>
  </r>
  <r>
    <x v="18"/>
    <s v="042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6-30T00:00:00"/>
    <d v="2020-11-29T00:00:00"/>
    <n v="8000000"/>
    <n v="0"/>
    <s v="LUISA FERNANDA GUIO DE LA FUENTE"/>
    <n v="46385024"/>
    <s v="PERSONAL DE APOYO VIGIAS DE SALUD PARA VELAR POR EL CUMPLIENTO DE PROTOCOLOS DE BIOSEGURIDAD (POR 5 MESES)"/>
    <n v="1"/>
    <s v="VALOR MENSUAL POR PERSONA"/>
    <n v="1600000"/>
    <n v="0"/>
    <n v="8000000"/>
    <x v="6"/>
  </r>
  <r>
    <x v="18"/>
    <s v="043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7-01T00:00:00"/>
    <d v="2020-11-30T00:00:00"/>
    <n v="8000000"/>
    <n v="0"/>
    <s v="PAULA ANDREA MARTINEZ SANDOVAL"/>
    <n v="46369935"/>
    <s v="PERSONAL DE APOYO VIGIAS DE SALUD PARA VELAR POR EL CUMPLIENTO DE PROTOCOLOS DE BIOSEGURIDAD (POR 5 MESES)"/>
    <n v="1"/>
    <s v="VALOR MENSUAL POR PERSONA"/>
    <n v="1600000"/>
    <n v="0"/>
    <n v="8000000"/>
    <x v="6"/>
  </r>
  <r>
    <x v="18"/>
    <s v="044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7-01T00:00:00"/>
    <d v="2020-11-30T00:00:00"/>
    <n v="8000000"/>
    <n v="0"/>
    <s v="ANA MIREYA GALLO FUENTES"/>
    <n v="1052314062"/>
    <s v="PERSONAL DE APOYO VIGIAS DE SALUD PARA VELAR POR EL CUMPLIENTO DE PROTOCOLOS DE BIOSEGURIDAD (POR 5 MESES)"/>
    <n v="1"/>
    <s v="VALOR MENSUAL POR PERSONA"/>
    <n v="1600000"/>
    <n v="0"/>
    <n v="8000000"/>
    <x v="6"/>
  </r>
  <r>
    <x v="18"/>
    <s v="045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7-06T00:00:00"/>
    <d v="2020-12-05T00:00:00"/>
    <n v="8000000"/>
    <n v="0"/>
    <s v="GENNY LIZETH ESPINOSA SAENZ"/>
    <n v="23783733"/>
    <s v="PERSONAL DE APOYO VIGIAS DE SALUD PARA VELAR POR EL CUMPLIENTO DE PROTOCOLOS DE BIOSEGURIDAD (POR 5 MESES)"/>
    <n v="1"/>
    <s v="VALOR MENSUAL POR PERSONA"/>
    <n v="1600000"/>
    <n v="0"/>
    <n v="8000000"/>
    <x v="6"/>
  </r>
  <r>
    <x v="18"/>
    <s v="050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7-29T00:00:00"/>
    <d v="2020-12-28T00:00:00"/>
    <n v="8000000"/>
    <n v="0"/>
    <s v="DORA MERCEDES DAZA CORDOBA"/>
    <n v="23427767"/>
    <s v="PERSONAL DE APOYO VIGIAS DE SALUD PARA VELAR POR EL CUMPLIENTO DE PROTOCOLOS DE BIOSEGURIDAD (POR 5 MESES)"/>
    <n v="1"/>
    <s v="VALOR MENSUAL POR PERSONA"/>
    <n v="1600000"/>
    <n v="0"/>
    <n v="8000000"/>
    <x v="6"/>
  </r>
  <r>
    <x v="18"/>
    <s v="052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8-18T00:00:00"/>
    <d v="2020-08-18T00:00:00"/>
    <n v="7093333"/>
    <n v="0"/>
    <s v="RICARDO DIAZ PINTO"/>
    <n v="1116544773"/>
    <s v="PERSONAL DE APOYO VIGIAS DE SALUD PARA VELAR POR EL CUMPLIENTO DE PROTOCOLOS DE BIOSEGURIDAD (POR 133 DÍAS)"/>
    <n v="1"/>
    <s v="VALOR MENSUAL POR PERSONA"/>
    <n v="1600000"/>
    <n v="0"/>
    <n v="7093333.333333334"/>
    <x v="6"/>
  </r>
  <r>
    <x v="18"/>
    <s v="054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8-26T00:00:00"/>
    <d v="2020-08-26T00:00:00"/>
    <n v="6613333"/>
    <n v="0"/>
    <s v="LEIDI FAVIOLA VARGAS QUIROGA"/>
    <n v="1049654832"/>
    <s v="PERSONAL DE APOYO VIGIAS DE SALUD PARA VELAR POR EL CUMPLIENTO DE PROTOCOLOS DE BIOSEGURIDAD (POR 124 DÍAS)"/>
    <n v="1"/>
    <s v="VALOR MENSUAL POR PERSONA"/>
    <n v="1600000"/>
    <n v="0"/>
    <n v="6613333.333333334"/>
    <x v="6"/>
  </r>
  <r>
    <x v="18"/>
    <s v="056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9-16T00:00:00"/>
    <d v="2020-09-16T00:00:00"/>
    <n v="4906667"/>
    <n v="0"/>
    <s v="YAZMIN ELIANA CASTILLO HERNANDEZ"/>
    <n v="1072446724"/>
    <s v="PERSONAL DE APOYO VIGIAS DE SALUD PARA VELAR POR EL CUMPLIENTO DE PROTOCOLOS DE BIOSEGURIDAD (POR 92 DÍAS)"/>
    <n v="1"/>
    <s v="VALOR MENSUAL POR PERSONA"/>
    <n v="1600000"/>
    <n v="0"/>
    <n v="4906666.666666667"/>
    <x v="6"/>
  </r>
  <r>
    <x v="18"/>
    <s v="058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09-17T00:00:00"/>
    <d v="2020-09-17T00:00:00"/>
    <n v="5546667"/>
    <n v="0"/>
    <s v="HORTENCIA JEJEN LEAL"/>
    <n v="23637799"/>
    <s v="PERSONAL DE APOYO VIGIAS DE SALUD PARA VELAR POR EL CUMPLIENTO DE PROTOCOLOS DE BIOSEGURIDAD (POR 104 DÍAS)"/>
    <n v="1"/>
    <s v="VALOR MENSUAL POR PERSONA"/>
    <n v="1600000"/>
    <n v="0"/>
    <n v="5546666.666666667"/>
    <x v="6"/>
  </r>
  <r>
    <x v="18"/>
    <s v="060 DE 2020"/>
    <s v="CONTRATAR EN NOMBRE DE LA NACIÓN - CONSEJO SUPERIOR DE LA JUDICATURA – DIRECCIÓN EJECUTIVA SECCIONAL DE ADMINISTRACIÓN JUDICIAL DE TUNJA, LA COMPRA DE ELEMENTOS DE PROTECCIÓN PERSONAL PARA LA PREVENCIÓN DE LA COVID-19, COMO SON: GEL ANTIBACTERIAL, GUANTES DE NITRILO, JABÓN ANTIBACTERIAL, TAPABOCAS DESECHABLES, TOALLAS DE PAPEL Y ALCOHOL ANTISÉPTICO, CON DESTINO A SERVIDORES JUDICIALES, PASANTES Y CONTRATISTA DE PRESTACIÓN DE SERVICIOS, DE LOS DISTRITOS DE TUNJA, SANTA ROSA DE VITERBO Y YOPAL, CONSEJO SECCIONAL DE LA JUDICATURA DE BOYACÁ Y CASANARE, SALA DISCIPLINARIA, DIRECCIÓN EJECUTIVA SECCIONAL DE ADMINISTRACIÓN JUDICIAL DE TUNJA."/>
    <d v="2020-09-25T00:00:00"/>
    <d v="2020-09-25T00:00:00"/>
    <n v="8030300.8099999996"/>
    <n v="0"/>
    <s v="TIKKE SAS"/>
    <n v="9003309573"/>
    <s v="TAPABOCAS DESECHABLES"/>
    <n v="50000"/>
    <s v="UNIDAD"/>
    <n v="144.4444"/>
    <n v="0"/>
    <n v="7222220"/>
    <x v="3"/>
  </r>
  <r>
    <x v="18"/>
    <s v="061 DE 2020"/>
    <s v="CONTRATAR EN NOMBRE DE LA NACIÓN - CONSEJO SUPERIOR DE LA JUDICATURA – DIRECCIÓN EJECUTIVA SECCIONAL DE ADMINISTRACIÓN JUDICIAL DE TUNJA, LA COMPRA DE ELEMENTOS DE PROTECCIÓN PERSONAL PARA LA PREVENCIÓN DE LA COVID-19, COMO SON: GEL ANTIBACTERIAL, GUANTES DE NITRILO, JABÓN ANTIBACTERIAL, TAPABOCAS DESECHABLES, TOALLAS DE PAPEL Y ALCOHOL ANTISÉPTICO, CON DESTINO A SERVIDORES JUDICIALES, PASANTES Y CONTRATISTA DE PRESTACIÓN DE SERVICIOS, DE LOS DISTRITOS DE TUNJA, SANTA ROSA DE VITERBO Y YOPAL, CONSEJO SECCIONAL DE LA JUDICATURA DE BOYACÁ Y CASANARE, SALA DISCIPLINARIA, DIRECCIÓN EJECUTIVA SECCIONAL DE ADMINISTRACIÓN JUDICIAL DE TUNJA."/>
    <d v="2020-09-25T00:00:00"/>
    <d v="2020-09-25T00:00:00"/>
    <n v="32218793.190000001"/>
    <n v="0"/>
    <s v="SUMIMAS SAS"/>
    <n v="8300013381"/>
    <s v="TOALLAS DE PAPEL DESECHABLES PARA MANOS EN PRESENTACION DE PAQUETE POR 150 UNIDADES"/>
    <n v="1200"/>
    <s v="PAQUETE"/>
    <n v="2838.38"/>
    <n v="539.29219999999998"/>
    <n v="4053206.64"/>
    <x v="8"/>
  </r>
  <r>
    <x v="18"/>
    <s v="061 DE 2020"/>
    <s v="CONTRATAR EN NOMBRE DE LA NACIÓN - CONSEJO SUPERIOR DE LA JUDICATURA – DIRECCIÓN EJECUTIVA SECCIONAL DE ADMINISTRACIÓN JUDICIAL DE TUNJA, LA COMPRA DE ELEMENTOS DE PROTECCIÓN PERSONAL PARA LA PREVENCIÓN DE LA COVID-19, COMO SON: GEL ANTIBACTERIAL, GUANTES DE NITRILO, JABÓN ANTIBACTERIAL, TAPABOCAS DESECHABLES, TOALLAS DE PAPEL Y ALCOHOL ANTISÉPTICO, CON DESTINO A SERVIDORES JUDICIALES, PASANTES Y CONTRATISTA DE PRESTACIÓN DE SERVICIOS, DE LOS DISTRITOS DE TUNJA, SANTA ROSA DE VITERBO Y YOPAL, CONSEJO SECCIONAL DE LA JUDICATURA DE BOYACÁ Y CASANARE, SALA DISCIPLINARIA, DIRECCIÓN EJECUTIVA SECCIONAL DE ADMINISTRACIÓN JUDICIAL DE TUNJA."/>
    <d v="2020-09-25T00:00:00"/>
    <d v="2020-09-25T00:00:00"/>
    <n v="32218793.190000001"/>
    <n v="0"/>
    <s v="SUMIMAS SAS"/>
    <n v="8300013381"/>
    <s v="GEL ANTIBACTERIAL GLICERIADO, ALCOHOL GELA LA 65%"/>
    <n v="4000"/>
    <s v="LITRO"/>
    <n v="4680.8100000000004"/>
    <n v="0"/>
    <n v="18723240"/>
    <x v="4"/>
  </r>
  <r>
    <x v="18"/>
    <s v="061 DE 2020"/>
    <s v="CONTRATAR EN NOMBRE DE LA NACIÓN - CONSEJO SUPERIOR DE LA JUDICATURA – DIRECCIÓN EJECUTIVA SECCIONAL DE ADMINISTRACIÓN JUDICIAL DE TUNJA, LA COMPRA DE ELEMENTOS DE PROTECCIÓN PERSONAL PARA LA PREVENCIÓN DE LA COVID-19, COMO SON: GEL ANTIBACTERIAL, GUANTES DE NITRILO, JABÓN ANTIBACTERIAL, TAPABOCAS DESECHABLES, TOALLAS DE PAPEL Y ALCOHOL ANTISÉPTICO, CON DESTINO A SERVIDORES JUDICIALES, PASANTES Y CONTRATISTA DE PRESTACIÓN DE SERVICIOS, DE LOS DISTRITOS DE TUNJA, SANTA ROSA DE VITERBO Y YOPAL, CONSEJO SECCIONAL DE LA JUDICATURA DE BOYACÁ Y CASANARE, SALA DISCIPLINARIA, DIRECCIÓN EJECUTIVA SECCIONAL DE ADMINISTRACIÓN JUDICIAL DE TUNJA."/>
    <d v="2020-09-25T00:00:00"/>
    <d v="2020-09-25T00:00:00"/>
    <n v="32218793.190000001"/>
    <n v="0"/>
    <s v="SUMIMAS SAS"/>
    <n v="8300013381"/>
    <s v="JABON DISPENSADOR PARA MANOS"/>
    <n v="2915"/>
    <s v="LITRO"/>
    <n v="1679.8942999999999"/>
    <n v="0"/>
    <n v="4896891.8844999997"/>
    <x v="5"/>
  </r>
  <r>
    <x v="18"/>
    <s v="062 DE 2020"/>
    <s v="CONTRATAR EN NOMBRE DE LA NACIÓN - CONSEJO SUPERIOR DE LA JUDICATURA – DIRECCIÓN EJECUTIVA SECCIONAL DE ADMINISTRACIÓN JUDICIAL DE TUNJA, LA COMPRA DE ELEMENTOS DE PROTECCIÓN PERSONAL PARA LA PREVENCIÓN DE LA COVID-19, COMO SON: GEL ANTIBACTERIAL, GUANTES DE NITRILO, JABÓN ANTIBACTERIAL, TAPABOCAS DESECHABLES, TOALLAS DE PAPEL Y ALCOHOL ANTISÉPTICO, CON DESTINO A SERVIDORES JUDICIALES, PASANTES Y CONTRATISTA DE PRESTACIÓN DE SERVICIOS, DE LOS DISTRITOS DE TUNJA, SANTA ROSA DE VITERBO Y YOPAL, CONSEJO SECCIONAL DE LA JUDICATURA DE BOYACÁ Y CASANARE, SALA DISCIPLINARIA, DIRECCIÓN EJECUTIVA SECCIONAL DE ADMINISTRACIÓN JUDICIAL DE TUNJA."/>
    <d v="2020-09-25T00:00:00"/>
    <d v="2020-09-25T00:00:00"/>
    <n v="21119692.010000002"/>
    <n v="0"/>
    <s v="COMERCIALIZADORA ORIKUA SAS"/>
    <n v="900724561"/>
    <s v="ALCOHOL ANTISEPTICO AL 70%"/>
    <n v="5756"/>
    <s v="LITRO"/>
    <n v="3528.7719000000002"/>
    <n v="0"/>
    <n v="20311611.056400001"/>
    <x v="26"/>
  </r>
  <r>
    <x v="18"/>
    <s v="098 DE 2020"/>
    <s v="CONTRATAR EN NOMBRE DE LA NACIÓN – CONSEJO SUPERIOR DE LA JUDICATURA- DIRECCIÓN EJECUTIVA SECCIONAL DE ADMINISTRACIÓN JUDICIAL DE TUNJA, LA PRESTACIÓN DE SERVICIOS DE PERSONAL DE APOYO A LA GESTIÓN PARA VELAR POR EL CUMPLIMIENTO DE LOS PROTOCOLOS DE BIOSEGURIDAD ESTABLECIDOS POR LA RAMA JUDICIAL Y FORTALECER LAS MEDIDAS DE PREVENCIÓN DEL CONTAGIO Y DE LA PROPAGACIÓN DEL COVID -19"/>
    <d v="2020-10-05T00:00:00"/>
    <d v="2020-10-05T00:00:00"/>
    <n v="4586667"/>
    <n v="0"/>
    <s v="NUBIA JASMIN GAUCHA BARRETO"/>
    <n v="33645337"/>
    <s v="PERSONAL DE APOYO VIGIAS DE SALUD PARA VELAR POR EL CUMPLIENTO DE PROTOCOLOS DE BIOSEGURIDAD (POR 86 DÍAS)"/>
    <n v="1"/>
    <s v="VALOR MENSUAL POR PERSONA"/>
    <n v="1600000"/>
    <n v="0"/>
    <n v="4586666.666666667"/>
    <x v="6"/>
  </r>
  <r>
    <x v="18"/>
    <s v="099 DE 2020"/>
    <s v="CONTRATAR EN NOMBRE DE LA NACIÓN - CONSEJO SUPERIOR DE LA JUDICATURA – DIRECCIÓN EJECUTIVA SECCIONAL DE ADMINISTRACIÓN JUDICIAL DE TUNJA, LA COMPRA DE ELEMENTOS DE PROTECCIÓN PERSONAL, GUANTES DE NITRILO Y TAPABOCAS LAVABLES PARA LOS DISTRITOS DE SANTA ROSA DE VITERBO Y YOPAL "/>
    <d v="2020-10-02T00:00:00"/>
    <d v="2020-10-02T00:00:00"/>
    <n v="19944445"/>
    <n v="0"/>
    <s v="GLOBALK COLOMBIA SAS"/>
    <n v="830051855"/>
    <s v="GUANTES DE NITRILO EN PRESENTACION DE CAJA POR 100 UNIDADES"/>
    <n v="500"/>
    <s v="CAJA X 100"/>
    <n v="39888.89"/>
    <n v="0"/>
    <n v="19944445"/>
    <x v="10"/>
  </r>
  <r>
    <x v="18"/>
    <s v="100 DE 2020"/>
    <s v="CONTRATAR EN NOMBRE DE LA NACIÓN - CONSEJO SUPERIOR DE LA JUDICATURA – DIRECCIÓN EJECUTIVA SECCIONAL DE ADMINISTRACIÓN JUDICIAL DE TUNJA, LA COMPRA DE ELEMENTOS DE PROTECCIÓN PERSONAL, GUANTES DE NITRILO Y TAPABOCAS LAVABLES PARA LOS DISTRITOS DE SANTA ROSA DE VITERBO Y YOPAL "/>
    <d v="2020-10-02T00:00:00"/>
    <d v="2020-10-02T00:00:00"/>
    <n v="27065650.41"/>
    <n v="0"/>
    <s v="ECF ROSSI Y COMPAÑÍA SAS ALOE DEL RIO"/>
    <n v="830082701"/>
    <s v="ALCOHOL ANTISEPTICO AL 70%"/>
    <n v="7369"/>
    <s v="LITRO"/>
    <n v="3501.5639000000001"/>
    <n v="0"/>
    <n v="25803024.379100002"/>
    <x v="26"/>
  </r>
  <r>
    <x v="18"/>
    <s v="101 DE 2020"/>
    <s v="CONTRATAR EN NOMBRE DE LA NACIÓN - CONSEJO SUPERIOR DE LA JUDICATURA – DIRECCIÓN EJECUTIVA SECCIONAL DE ADMINISTRACIÓN JUDICIAL DE TUNJA, LA COMPRA DE ELEMENTOS DE PROTECCIÓN PERSONAL, GUANTES DE NITRILO Y TAPABOCAS LAVABLES PARA LOS DISTRITOS DE SANTA ROSA DE VITERBO Y YOPAL "/>
    <d v="2020-10-02T00:00:00"/>
    <d v="2020-10-02T00:00:00"/>
    <n v="8265648.4800000004"/>
    <n v="0"/>
    <s v="MASIVA SAS"/>
    <n v="900801396"/>
    <s v="MASCARILLA DE TELA LAVABLE HASTA 60 LAVADAS"/>
    <n v="8000"/>
    <s v="UNIDAD"/>
    <n v="1010.1"/>
    <n v="0"/>
    <n v="8080800"/>
    <x v="3"/>
  </r>
  <r>
    <x v="18"/>
    <s v="164 DE 2020"/>
    <s v="CONTRATAR EN NOMBRE DE LA NACIÓN - CONSEJO SUPERIOR DE LA JUDICATURA – DIRECCIÓN EJECUTIVA SECCIONAL DE ADMINISTRACIÓN JUDICIAL DE TUNJA, LA COMPRA DE DIVISIONES O PANTALLAS EN CRISTAL GRID (ACRÍLICO RECUPERADO TRANSPARENTE TRASLUCIDO, INCLUIDO SOPORTES), ELEMENTOS DE PROTECCIÓN Y AISLAMIENTO PARA PREVENCIÓN DE LA COVID-19, CON DESTINO A SEDES JUDICIALES Y SALAS DE AUDIENCIAS DONDE SE PRESENTE INTERACCIÓN ENTRE SERVIDORES JUDICIALES Y PÚBLICO, DE LOS DISTRITOS DE TUNJA, SANTA ROSA DE VITERBO Y YOPAL, CONSEJO SECCIONAL DE LA JUDICATURA DE BOYACÁ Y CASANARE, SALA DISCIPLINARIA, DIRECCIÓN EJECUTIVA DE ADMINISTRACIÓN JUDICIAL DE TUNJA."/>
    <d v="2020-11-05T00:00:00"/>
    <d v="2020-11-05T00:00:00"/>
    <n v="9558000"/>
    <n v="0"/>
    <s v="JAIRO MONTAÑEZ VEGA"/>
    <n v="6770611"/>
    <s v="DIVISIONES O PANTALLAS EN CRISTAL GRID DE 60 POR 60"/>
    <n v="60"/>
    <s v="UNIDAD"/>
    <n v="64900"/>
    <n v="0"/>
    <n v="3894000"/>
    <x v="13"/>
  </r>
  <r>
    <x v="18"/>
    <s v="164 DE 2020"/>
    <s v="CONTRATAR EN NOMBRE DE LA NACIÓN - CONSEJO SUPERIOR DE LA JUDICATURA – DIRECCIÓN EJECUTIVA SECCIONAL DE ADMINISTRACIÓN JUDICIAL DE TUNJA, LA COMPRA DE DIVISIONES O PANTALLAS EN CRISTAL GRID (ACRÍLICO RECUPERADO TRANSPARENTE TRASLUCIDO, INCLUIDO SOPORTES), ELEMENTOS DE PROTECCIÓN Y AISLAMIENTO PARA PREVENCIÓN DE LA COVID-19, CON DESTINO A SEDES JUDICIALES Y SALAS DE AUDIENCIAS DONDE SE PRESENTE INTERACCIÓN ENTRE SERVIDORES JUDICIALES Y PÚBLICO, DE LOS DISTRITOS DE TUNJA, SANTA ROSA DE VITERBO Y YOPAL, CONSEJO SECCIONAL DE LA JUDICATURA DE BOYACÁ Y CASANARE, SALA DISCIPLINARIA, DIRECCIÓN EJECUTIVA DE ADMINISTRACIÓN JUDICIAL DE TUNJA."/>
    <d v="2020-11-05T00:00:00"/>
    <d v="2020-11-05T00:00:00"/>
    <n v="9558000"/>
    <n v="0"/>
    <s v="JAIRO MONTAÑEZ VEGA"/>
    <n v="6770611"/>
    <s v="DIVISIONES O PANTALLAS EN CRISTAL GRID DE 60 POR 90"/>
    <n v="60"/>
    <s v="UNIDAD"/>
    <n v="94900"/>
    <n v="0"/>
    <n v="5694000"/>
    <x v="13"/>
  </r>
  <r>
    <x v="18"/>
    <s v="174 DE 2020"/>
    <s v="CONTRATAR EN NOMBRE DE LA NACIÓN - CONSEJO SUPERIOR DE LA JUDICATURA – DIRECCIÓN EJECUTIVA SECCIONAL DE ADMINISTRACIÓN JUDICIAL DE TUNJA, LA COMPRA DE ELEMENTOS DE PROTECCIÓN PERSONAL, GUANTES DE NITRILO Y TAPABOCAS LAVABLES PARA LOS DISTRITOS DE SANTA ROSA DE VITERBO Y YOPAL "/>
    <d v="2020-12-16T00:00:00"/>
    <d v="2020-12-16T00:00:00"/>
    <n v="1101009.0900000001"/>
    <n v="0"/>
    <s v="PROCTECH TECNOLOGIA EN PROTECCION SAS "/>
    <n v="900907931"/>
    <s v="CARETAS VISORES - PROTECTOR FACIAL"/>
    <n v="500"/>
    <s v="UNIDAD"/>
    <n v="2020.2"/>
    <n v="0"/>
    <n v="1010100"/>
    <x v="11"/>
  </r>
  <r>
    <x v="18"/>
    <s v="175 DE 2020"/>
    <s v="CONTRATAR EN NOMBRE DE LA NACIÓN - CONSEJO SUPERIOR DE LA JUDICATURA – DIRECCIÓN EJECUTIVA SECCIONAL DE ADMINISTRACIÓN JUDICIAL DE TUNJA, LA COMPRA DE ELEMENTOS DE PROTECCIÓN PERSONAL, GUANTES DE NITRILO Y TAPABOCAS LAVABLES PARA LOS DISTRITOS DE SANTA ROSA DE VITERBO Y YOPAL "/>
    <d v="2020-12-17T00:00:00"/>
    <d v="2020-12-17T00:00:00"/>
    <n v="17242425"/>
    <n v="0"/>
    <s v="BON SANTE SAS"/>
    <n v="901211678"/>
    <s v="GUANTES DE NITRILO EN PRESENTACION DE CAJA POR 100 UNIDADES"/>
    <n v="300"/>
    <s v="CAJA X 100"/>
    <n v="57474.75"/>
    <n v="0"/>
    <n v="17242425"/>
    <x v="10"/>
  </r>
  <r>
    <x v="19"/>
    <s v="1"/>
    <s v="CONTRATAR EN NOMBRE DE LA NACIÓN-CONSEJO SUPERIOR DE LA JUDICATURA - DIRECCIÓN EJECUTIVA SECCIONAL DE ADMINISTRACIÓN JUDICIAL DE VALLEDUPAR- LA ADQUISICIÓN DE TRAJES DE BIOSEGURIDAD PARA LA PREVENCIÓN DEL CONTAGIO DEL CORONAVIRUS COVID-19 "/>
    <d v="2020-04-07T00:00:00"/>
    <d v="2020-04-15T00:00:00"/>
    <n v="4522000"/>
    <n v="0"/>
    <s v="TECHNICAL SOLUTIONS SAFETY S.A.S. "/>
    <n v="901095058"/>
    <s v="TRAJE DE BIOSEGURIDAD: EN DISEÑO DE OVEROL CON_x000a_CAPUCHA, COLOR BLANCO. ELABORADO EN MATERIAL_x000a_POLIETILENO Y POLIPROPILENO, PERMEABLE, RESISTENTE A TODO_x000a_TIPO DE FLUIDOS."/>
    <n v="200"/>
    <s v="UNIDAD"/>
    <n v="19000"/>
    <n v="3610"/>
    <n v="4522000"/>
    <x v="0"/>
  </r>
  <r>
    <x v="19"/>
    <s v="2"/>
    <s v="CONTRATAR EN NOMBRE DE LA NACIÓN - CONSEJO SUPERIOR DE LA JUDICATURA- DIRECCIÓN EJECUTIVA SECCIONAL DE ADMINISTRACIÓN JUDICIAL DE VALLEDUPAR, LA ADQUISICIÓN DE TAPA BOCAS DESECHABLES PARA LA PREVENCIÓN DEL CONTAGIO DEL CORONAVIRUS COVID-19"/>
    <d v="2020-04-10T00:00:00"/>
    <d v="2020-04-15T00:00:00"/>
    <n v="21896000"/>
    <n v="0"/>
    <s v="SERVICIO DE REHABILITACIÓN &amp; SALUD OCUPACIONAL SAS – SERFIS SAS"/>
    <n v="900712491"/>
    <s v="250 CAJAS DE TAPABOCAS  EN LA CIUDAD DE VALLEDUPAR Y 150 EN LA CIUDAD DE RIOHACHA DTC LA GUAJIRA, TAPA BOCAS DESECHABLES TRIPLE PROTECCIÓN CON REGISTRO INVIMA "/>
    <n v="20000"/>
    <s v="UNIDAD"/>
    <n v="920"/>
    <n v="174.8"/>
    <n v="21896000"/>
    <x v="3"/>
  </r>
  <r>
    <x v="19"/>
    <s v="3"/>
    <s v="CONTRATAR EN NOMBRE DE LA NACIÓN - CONSEJO SUPERIOR DE LA JUDICATURA - DIRECCIÓN EJECUTIVA SECCIONAL DE ADMINISTRACIÓN JUDICIAL DE VALLEDUPAR, LA COMPRA DE GUANTES DESECHABLES PARA LA PREVENCIÓN DEL CONTAGIO DEL CORONAVIRUS COVID-19"/>
    <d v="2020-04-13T00:00:00"/>
    <d v="2020-04-15T00:00:00"/>
    <n v="5650000"/>
    <n v="0"/>
    <s v="DISTRIBUIDORA MATERIAL DENTAL EL MOLAR Y/O GILMA RODRIGUEZ LÓPEZ"/>
    <n v="34535703"/>
    <s v="GUANTES DESECHABLES DE LATEX AMBIDIESTROS, TALLA M"/>
    <n v="200"/>
    <s v="CAJA X 100"/>
    <n v="28250"/>
    <n v="0"/>
    <n v="5650000"/>
    <x v="24"/>
  </r>
  <r>
    <x v="19"/>
    <s v="4"/>
    <s v="CONTRATAR EN NOMBRE DE LA NACIÓN - CONSEJO SUPERIOR DE LA JUDICATURA - DIRECCIÓN EJECUTIVA SECCIONAL DE ADMINISTRACIÓN JUDICIAL DE VALLEDUPAR, LA COMPRA DE ALCOHOL ANTISEPTICO PARA LA PREVENCIÓN DEL CONTAGIO DEL CORONAVIRUS COVID-19"/>
    <d v="2020-04-24T00:00:00"/>
    <d v="2020-04-27T00:00:00"/>
    <n v="2580000"/>
    <n v="0"/>
    <s v="GRUPO GAOS S.A.S"/>
    <n v="901322759"/>
    <s v="ALCOHOL AL 70% ANTISÉPTICO PARA LA PREVENCIÓN DEL CONTAGIO DEL CORONAVIRUS COVID-19. !80 LITROS PARA LA SECCIONAL VALLEDUPAR Y 120 LITROS PARA LA OFICINA DE COORDINACIÓN ADMINISTRATIVA DE RIOHACHA( LA FUENTE DE INFORMACIÓN EL FORMATO DE ESTUDIOS PREVIOS)"/>
    <n v="300"/>
    <s v="LITRO"/>
    <n v="8600"/>
    <n v="0"/>
    <n v="2580000"/>
    <x v="26"/>
  </r>
  <r>
    <x v="19"/>
    <s v="O.C. 47925"/>
    <s v="ADQUISICIÓN DE ELEMENTOS DE ASEO (TOALLAS Y JABÓN PARA MANOS) PARA PREVENIR LA PROPAGACIÓN DEL COVID-19 EN EL DEPARTAMENTO DEL CESAR Y DEPARTAMENTO DE LA GUAJIRA"/>
    <d v="2020-05-04T00:00:00"/>
    <d v="2020-05-04T00:00:00"/>
    <n v="12251660.609999999"/>
    <n v="0"/>
    <s v="SUMIMAS S.A.S"/>
    <n v="83001338"/>
    <s v="TOALLAS PARA MANOS 4 CODIGO PA 60, (PAQUETE MÍNIMO DE 50 UNIDADES), DISTRIBUIDAS ASI: 850 PARA LA SECCIONAL VALLEDUPAR Y 460 PARA COORDINACIÓN ADMINISTRATIVA DE RIOHACHA._x000a_"/>
    <n v="1310"/>
    <s v="PAQUETE"/>
    <n v="5880.21"/>
    <n v="1117.2399"/>
    <n v="9166659.368999999"/>
    <x v="8"/>
  </r>
  <r>
    <x v="19"/>
    <s v="O.C. 47925"/>
    <s v="ADQUISICIÓN DE ELEMENTOS DE ASEO (TOALLAS Y JABÓN PARA MANOS) PARA PREVENIR LA PROPAGACIÓN DEL COVID-19 EN EL DEPARTAMENTO DEL CESAR Y DEPARTAMENTO DE LA GUAJIRA"/>
    <d v="2020-05-04T00:00:00"/>
    <d v="2020-05-04T00:00:00"/>
    <n v="12251660.609999999"/>
    <n v="0"/>
    <s v="SUMIMAS S.A.S"/>
    <n v="83001338"/>
    <s v="JABÓN DISPENSADOR PARA MANOS 2 CÓDIGO PA 30, LÍQUIDO DISTRIBUIDOS ASÍ: 100 PARA LA SECCIONAL DE VALLEDUPAR Y 100 PARA COORDINACIÓN ADMINISTRATIVA DE RIOHACHA  "/>
    <n v="800"/>
    <s v="LITRO"/>
    <n v="3856.25"/>
    <n v="0"/>
    <n v="3085000"/>
    <x v="5"/>
  </r>
  <r>
    <x v="19"/>
    <s v="O.C. 47926"/>
    <s v="ADQUISICIÓN DE ELEMENTOS DE ASEO (GEL ANTIBACTERIAL) PARA PREVENIR LA PROPAGACIÓN DEL COVID-19 EN EL DEPARTAMENTO DEL CESAR Y DEPARTAMENTO DE LA GUAJIRA"/>
    <d v="2020-05-04T00:00:00"/>
    <d v="2020-05-04T00:00:00"/>
    <n v="29306033.280000001"/>
    <n v="0"/>
    <s v="FABIAN PEREZ"/>
    <n v="80736955"/>
    <s v="GEL ANTIBACTERIAL FCX1LT - ALCOHOLISOPROPILICO 70% EN GEL PARA ANTISEPSIA DE MANOS ALCOHOL ISOPROPILICO EN GEL PARA ANTISEPSIA DE MANOS, 70ML+2G/100ML"/>
    <n v="1656"/>
    <s v="LITRO"/>
    <n v="17696.88"/>
    <n v="0"/>
    <n v="29306033.280000001"/>
    <x v="4"/>
  </r>
  <r>
    <x v="19"/>
    <s v="O.C. 48153"/>
    <s v="COMPRA TAPA BOCAS DESECHABLES PARA PREVENIR LA PROPAGACIÓN DEL COVID-19 EN EL DEPARTAMENTO DEL CESAR "/>
    <d v="2020-05-07T00:00:00"/>
    <d v="2020-05-07T00:00:00"/>
    <n v="5095000"/>
    <n v="0"/>
    <s v="FABIAN PEREZ"/>
    <n v="80736955"/>
    <s v="TAPA BOCAS, DESECHABLE, CON RESORTE A LA OREJA, DOBLE FILTRO, ADAPTADOR NASAL AJUSTABLE, CAJA POR 100 UNIDADES. "/>
    <n v="5000"/>
    <s v="UNIDAD"/>
    <n v="989"/>
    <n v="0"/>
    <n v="4945000"/>
    <x v="3"/>
  </r>
  <r>
    <x v="19"/>
    <s v="O.C. 48437"/>
    <s v="COMPRA TAPA BOCAS DESECHABLES PARA PREVENIR LA PROPAGACIÓN DEL COVID-19 EN EL DEPARTAMENTO DEL CESAR Y DEPARTAMENTO DE LA GUAJIRA"/>
    <d v="2020-05-14T00:00:00"/>
    <d v="2020-05-14T00:00:00"/>
    <n v="71093750"/>
    <n v="0"/>
    <s v="GRUPO CRUZ VELASQUEZ"/>
    <n v="901243179"/>
    <s v="TAPABOCAS DESECHABLE, CON RESORTE A LA OREJA , DOBLE FILTRO, ADAPTADOR NASAL AJUSTABLE, EN ALGODÓN.CANTIDAD DISTRIBUIDA ASÍ: VALLEDUPAR 500 CAJAS Y RIOHACHA  250 CAJAS "/>
    <n v="75000"/>
    <s v="UNIDAD"/>
    <n v="937.5"/>
    <n v="0"/>
    <n v="70312500"/>
    <x v="3"/>
  </r>
  <r>
    <x v="19"/>
    <s v="O.C. 48445"/>
    <s v="ADQUISICION DE ELEMENTOS DE ASEO (DESINFECTANTE A BASE DE CLORO) PARA PREVENIR LA PROPAGACIÓN DEL COVID-19 EN EL DEPARTAMENTO DEL CESAR Y DEPARTAMENTO DE LA GUAJIRA"/>
    <d v="2020-05-14T00:00:00"/>
    <d v="2020-05-14T00:00:00"/>
    <n v="11910547.07"/>
    <n v="0"/>
    <s v="PMI PROYECTOS MONTAJES E INGENIERIA"/>
    <n v="90070405"/>
    <s v="PRODUCTOS DE HIGIENE DOMÉSTICA CON PROPIEDAD DESINFECTANTE DE SUPERFICIE A BASE DE CLORO (EN ESPECIAL, FORMULADOS CON HIPOCLORITO DE SODIO). – GALÓN. CANTIDAD DISTRIBUIDA ASI: VALLEDUPAR 668 Y RIOHACHA  412"/>
    <n v="2316"/>
    <s v="LITRO"/>
    <n v="2588.2824999999998"/>
    <n v="0"/>
    <n v="5994462.2699999996"/>
    <x v="46"/>
  </r>
  <r>
    <x v="19"/>
    <s v="O.C. 48447"/>
    <s v="ADQUISICIÓN DE ELEMENTOS DE ASEO (GEL ANTIBACTERIAL) PARA PREVENIR LA PROPAGACIÓN DEL COVID-19 EN EL DEPARTAMENTO DEL CESAR "/>
    <d v="2020-05-14T00:00:00"/>
    <d v="2020-05-14T00:00:00"/>
    <n v="3784376"/>
    <n v="0"/>
    <s v="INDUHOTEL SAS"/>
    <n v="900300970"/>
    <s v="GEL ANTIBACTERIAL FCX1LT – ALCOHOL ISOPROPILICO 70% EN GEL PARA ANTISEPSIA DE MANOS ALCOHOL ISOPROPILICO EN GEL PARA ANTISEPSIA DE MANOS, 70ML+2G/100ML"/>
    <n v="200"/>
    <s v="LITRO"/>
    <n v="18921.88"/>
    <n v="0"/>
    <n v="3784376"/>
    <x v="4"/>
  </r>
  <r>
    <x v="19"/>
    <s v="O.C. 48448"/>
    <s v="ADQUISICIÓN DE ELEMENTOS DE ASEO (JABÓN DISPENSADOR PARA MANOS) PARA PREVENIR LA PROPAGACIÓN DEL COVID-19 EN EL DEPARTAMENTO DEL CESAR "/>
    <d v="2020-05-14T00:00:00"/>
    <d v="2020-05-14T00:00:00"/>
    <n v="10113019.77"/>
    <n v="0"/>
    <s v="PAPER BOX SAS"/>
    <n v="900791672"/>
    <s v="JABÓN DISPENSADOR PARA MANOS 2 – LIQUIDO"/>
    <n v="1276"/>
    <s v="LITRO"/>
    <n v="5598.9575000000004"/>
    <n v="0"/>
    <n v="7144269.7700000005"/>
    <x v="5"/>
  </r>
  <r>
    <x v="19"/>
    <s v="5"/>
    <s v="CONTRATAR EN NOMBRE DE LA NACIÓN -CONSEJO SUPERIOR DE LA JUDICATURA- DIRECCIÓN EJECUTIVA SECCIONAL DE ADMINISTRACIÓN JUDICIAL DE VALLEDUPAR LA COMPRA DE TERMÓMETROS Y OTROS ELEMENTOS PARA LA CONTENCIÓN DE LA PANDEMIA PRODUCIDA POR EL CORONAVIRUS COVID-19"/>
    <d v="2020-05-18T00:00:00"/>
    <d v="2020-05-20T00:00:00"/>
    <n v="20065000"/>
    <n v="0"/>
    <s v="NESTOR JAVIER GÓMEZ FRAGOZO Y/O SISTEMAS INTELIGENTES"/>
    <n v="77188846"/>
    <s v="TERMÓMETROS INFRAROJO PARA  SECCIONAL DE VALLEDUPAR Y RIOHACHA "/>
    <n v="50"/>
    <s v="UNIDAD"/>
    <n v="350000"/>
    <n v="0"/>
    <n v="17500000"/>
    <x v="22"/>
  </r>
  <r>
    <x v="19"/>
    <s v="5"/>
    <s v="CONTRATAR EN NOMBRE DE LA NACIÓN -CONSEJO SUPERIOR DE LA JUDICATURA- DIRECCIÓN EJECUTIVA SECCIONAL DE ADMINISTRACIÓN JUDICIAL DE VALLEDUPAR LA COMPRA DE TERMÓMETROS Y OTROS ELEMENTOS PARA LA CONTENCIÓN DE LA PANDEMIA PRODUCIDA POR EL CORONAVIRUS COVID-19"/>
    <d v="2020-05-18T00:00:00"/>
    <d v="2020-05-20T00:00:00"/>
    <n v="20065000"/>
    <n v="0"/>
    <s v="NESTOR JAVIER GÓMEZ FRAGOZO Y/O SISTEMAS INTELIGENTES"/>
    <n v="77188846"/>
    <s v=" 57 CINTAS ADHESIVAS PARA LA SECCIONAL VALLEDUPAR Y LA COORDINACIÓN ADMINISTRATIVA DE RIOHACHA  48 MM 33 METROS LARGO"/>
    <n v="57"/>
    <s v="ROLLO X 33 MTS"/>
    <n v="45000"/>
    <n v="0"/>
    <n v="2565000"/>
    <x v="33"/>
  </r>
  <r>
    <x v="19"/>
    <s v="O.C. 50427"/>
    <s v="CONTRATAR LA ADQUISICIÓN DE CARETAS DE PROTECCIÓN PARA PREVENIR LA PROPAGACIÓN DEL COVID-19. "/>
    <d v="2020-06-12T00:00:00"/>
    <d v="2020-06-12T00:00:00"/>
    <n v="5053127.3099999996"/>
    <n v="0"/>
    <s v="PLASTICOS FENIX SAS "/>
    <n v="890307682"/>
    <s v=" CARETAS VISORES (PROTECTOR FACIAL) - EPP-9 PARA SECCIONAL VALLEDUPAR Y COORDINACIÓN ADMINISTRATIVA DE RIOHACHA"/>
    <n v="693"/>
    <s v="UNIDAD"/>
    <n v="7291.67"/>
    <n v="0"/>
    <n v="5053127.3099999996"/>
    <x v="11"/>
  </r>
  <r>
    <x v="19"/>
    <s v="6"/>
    <s v="CONTRATAR  LA PRESTACIÓN DE SERVICIO DE APOYO A LA GESTIÓN PARA   ORIENTAR, VELAR Y HACER SEGUIMIENTO AL CUMPLIMIENTO DE LOS PROTOCOLOS DE BIOSEGURIDAD ESTABLECIDAS Y ASÍ MISMO, FORTALECER LAS MEDIDAS DE PREVENCIÓN DEL CONTAGIO Y PROPAGACIÓN DEL COVID – 19. "/>
    <d v="2020-06-18T00:00:00"/>
    <d v="2020-06-24T00:00:00"/>
    <n v="69638644"/>
    <n v="0"/>
    <s v="SERVICIOS ESPECIALES PARA EMPRESAS S.A.S  (SESPEM) R/L JOSE ALBERTO HERAZO MOLINA "/>
    <n v="80014829"/>
    <s v="CONTRATAR  15 AUXILIARES  ENCARGADAS DE LA TOMA DE TEMPERATURA CORPORAL, VERIFICACIÓN DE SÍNTOMAS, ADEMÁS DE VELAR POR EL CUMPLIMIENTO DE LOS PROTOCOLOS_x000a_DE BIOSEGURIDAD DEFINIDOS POR LA ENTIDAD, EN LAS SEDES DE MAYOR AFLUENCIA DEL DISTRITO JUDICIAL DEL DEPARTAMENTO DEL CESAR Y LA GUAJIRA. (3 MESES)"/>
    <n v="15"/>
    <s v="VALOR MENSUAL POR PERSONA"/>
    <n v="1547525.4"/>
    <n v="0"/>
    <n v="69638643"/>
    <x v="6"/>
  </r>
  <r>
    <x v="19"/>
    <s v="O.C. 51437"/>
    <s v="COMPRA DE CANECAS PARA RESIDUOS BIOLÓGICOS PARA LA CONTENCIÓN DEL VIRUS PROVOCADO POR EL COVID-19 EN LAS SEDES JUDICIALES ADSCRITAS A LA DIRECCIÓN EJECUTIVA SECCIONAL DE ADMINISTRACIÓN JUDICIAL DE VALLEDUPAR "/>
    <d v="2020-07-02T00:00:00"/>
    <d v="2020-07-02T00:00:00"/>
    <n v="4436960"/>
    <n v="0"/>
    <s v="CENCOSUD COLOMBIA S.A. "/>
    <n v="900155107"/>
    <s v="CANECAS 35 LT PEDAL"/>
    <n v="80"/>
    <s v="UNIDAD"/>
    <n v="55462"/>
    <n v="0"/>
    <n v="4436960"/>
    <x v="15"/>
  </r>
  <r>
    <x v="19"/>
    <s v="O.C. 51556"/>
    <s v="CONTRATAR LA COMPRA DE DISPENSADORES DE TOALLAS Y ATOMIZADORES PARA LAS SEDES JUDICIALES ADSCRITAS A LA DIRECCIÓN EJECUTIVA SECCIONAL DE ADMINISTRACIÓN JUDICIAL DE VALLEDUPAR, DENTRO DEL MARCO DE LA PANDEMIA PROVOCADA POR EL COVID-19."/>
    <d v="2020-07-06T00:00:00"/>
    <d v="2020-07-06T00:00:00"/>
    <n v="24633605"/>
    <n v="0"/>
    <s v="COLOMBIANA DE COMERCIO S.A Y/O ALKOSTO S.A "/>
    <n v="890900943"/>
    <s v="DISPENSADOR DE TOALLAS EN ACERO INOXIDABLE"/>
    <n v="95"/>
    <s v="UNIDAD"/>
    <n v="252339"/>
    <n v="0"/>
    <n v="23972205"/>
    <x v="12"/>
  </r>
  <r>
    <x v="19"/>
    <s v="O.C. 51556"/>
    <s v="CONTRATAR LA COMPRA DE DISPENSADORES DE TOALLAS Y ATOMIZADORES PARA LAS SEDES JUDICIALES ADSCRITAS A LA DIRECCIÓN EJECUTIVA SECCIONAL DE ADMINISTRACIÓN JUDICIAL DE VALLEDUPAR, DENTRO DEL MARCO DE LA PANDEMIA PROVOCADA POR EL COVID-19."/>
    <d v="2020-07-06T00:00:00"/>
    <d v="2020-07-06T00:00:00"/>
    <n v="24633605"/>
    <n v="0"/>
    <s v="COLOMBIANA DE COMERCIO S.A Y/O ALKOSTO S.A "/>
    <n v="890900943"/>
    <s v="ATOMIZADORES 600 ML"/>
    <n v="100"/>
    <s v="UNIDAD"/>
    <n v="6614"/>
    <n v="0"/>
    <n v="661400"/>
    <x v="20"/>
  </r>
  <r>
    <x v="19"/>
    <s v="53245"/>
    <s v="CONTRATAR LA ADQUISICIÓN DE ALCOHOL PARA CONTENER LA PROPAGACIÓN DEL COVID-19 "/>
    <d v="2020-08-05T00:00:00"/>
    <d v="2020-08-05T00:00:00"/>
    <n v="3648961.09"/>
    <n v="0"/>
    <s v="COSMETICOS SAMY S.A."/>
    <n v="811008383"/>
    <s v="ALCOHOL GALÓN X 3.750 ML - GALON"/>
    <n v="757.5"/>
    <s v="LITRO"/>
    <n v="3861.1120000000001"/>
    <n v="0"/>
    <n v="2924792.34"/>
    <x v="26"/>
  </r>
  <r>
    <x v="19"/>
    <s v="53292"/>
    <s v="CONTRATAR LA ADQUISICIÓN DE GUANTES DE NITRILO PARA CONTENER LA PROPAGACIÓN DEL COVID-19"/>
    <d v="2020-08-06T00:00:00"/>
    <d v="2020-08-06T00:00:00"/>
    <n v="10895833.33"/>
    <n v="0"/>
    <s v="AESTHETICS &amp; MEDICAL SOLUTIONS S.A.S"/>
    <n v="900567130"/>
    <s v="- GUANTES DE NITRILO"/>
    <n v="137"/>
    <s v="CAJA X 100"/>
    <n v="46875"/>
    <n v="0"/>
    <n v="6421875"/>
    <x v="10"/>
  </r>
  <r>
    <x v="19"/>
    <s v="53292"/>
    <s v="CONTRATAR LA ADQUISICIÓN DE GUANTES DE NITRILO PARA CONTENER LA PROPAGACIÓN DEL COVID-19"/>
    <d v="2020-08-06T00:00:00"/>
    <d v="2020-08-06T00:00:00"/>
    <n v="10895833.33"/>
    <n v="0"/>
    <s v="AESTHETICS &amp; MEDICAL SOLUTIONS S.A.S"/>
    <n v="900567130"/>
    <s v="- GUANTES DE NITRILO"/>
    <n v="91"/>
    <s v="CAJA X 100"/>
    <n v="46875"/>
    <n v="0"/>
    <n v="4265625"/>
    <x v="10"/>
  </r>
  <r>
    <x v="19"/>
    <s v="58778"/>
    <s v="CONTRATAR LA ADQUISICIÓN DE ELEMENTOS DE PROTECCIÓN PERSONAL PARA LA PREVENCIÓN DEL CONTAGIO DEL CORONAVIRUS COVID-19 (TAPABOCAS DE TELA LA GUAJIRA) "/>
    <d v="2020-11-17T00:00:00"/>
    <d v="2020-11-17T00:00:00"/>
    <n v="923842.3"/>
    <n v="0"/>
    <s v="FABIAN PEREZ "/>
    <n v="80736955"/>
    <s v="TAPABOCA TELA POLYESTER"/>
    <n v="870"/>
    <s v="UNIDAD"/>
    <n v="882.29"/>
    <n v="0"/>
    <n v="767592.29999999993"/>
    <x v="3"/>
  </r>
  <r>
    <x v="19"/>
    <s v="58706"/>
    <s v="CONTRATAR EN NOMBRE DE LA NACIÓN - CONSEJO SUPERIOR DE LA JUDICATURA - DIRECCIÓN EJECUTIVA SECCIONAL DE ADMINISTRACIÓN JUDICIAL DE VALLEDUPAR, LA ADQUISICIÓN DE ELEMENTOS DE PROTECCIÓN PERSONAL PARA LA PREVENCIÓN DEL CONTAGIO DEL CORONAVIRUS COVID-19 (GUANTES DE NITRILO) "/>
    <d v="2020-11-17T00:00:00"/>
    <d v="2020-11-17T00:00:00"/>
    <n v="998000"/>
    <n v="0"/>
    <s v="GLOBALK COLOMBIA SAS "/>
    <n v="830051855"/>
    <s v="GUANTES DE NITRILO"/>
    <n v="20"/>
    <s v="CAJA X 100"/>
    <n v="40900"/>
    <n v="0"/>
    <n v="818000"/>
    <x v="10"/>
  </r>
  <r>
    <x v="19"/>
    <s v="58707"/>
    <s v="CONTRATAR EN NOMBRE DE LA NACIÓN - CONSEJO SUPERIOR DE LA JUDICATURA - DIRECCIÓN EJECUTIVA SECCIONAL DE ADMINISTRACIÓN JUDICIAL DE VALLEDUPAR, LA ADQUISICIÓN DE ELEMENTOS DE PROTECCIÓN PERSONAL PARA LA PREVENCIÓN DEL CONTAGIO DEL CORONAVIRUS COVID-19. "/>
    <d v="2020-11-17T00:00:00"/>
    <d v="2020-11-17T00:00:00"/>
    <n v="8140000"/>
    <n v="0"/>
    <s v="IMPOCOSER SAS "/>
    <n v="830025916"/>
    <s v="TAPABOCAS DESECHABLES"/>
    <n v="700"/>
    <s v="UNIDAD"/>
    <n v="10300"/>
    <n v="0"/>
    <n v="7210000"/>
    <x v="3"/>
  </r>
  <r>
    <x v="19"/>
    <s v="58779"/>
    <s v="CONTRATAR LA ADQUISICIÓN DE ELEMENTOS DE PROTECCIÓN PERSONAL PARA LA PREVENCIÓN DEL CONTAGIO DEL CORONAVIRUS COVID-19 (TAPABOCAS DESECHABLES LA GUAJIRA)"/>
    <d v="2020-11-17T00:00:00"/>
    <d v="2020-11-17T00:00:00"/>
    <n v="7562502"/>
    <n v="0"/>
    <s v="IMPOCOSER SAS "/>
    <n v="830025916"/>
    <s v="TAPABOCAS DESECHABLES"/>
    <n v="600"/>
    <s v="UNIDAD"/>
    <n v="10729.17"/>
    <n v="0"/>
    <n v="6437502"/>
    <x v="3"/>
  </r>
  <r>
    <x v="19"/>
    <s v="58780"/>
    <s v="CONTRATAR LA ADQUISICIÓN DE ELEMENTOS DE PROTECCIÓN PERSONAL PARA LA PREVENCIÓN DEL CONTAGIO DEL CORONAVIRUS COVID-19 (GUANTES LA GUAJIRA) "/>
    <d v="2020-11-17T00:00:00"/>
    <d v="2020-11-17T00:00:00"/>
    <n v="488541.7"/>
    <n v="0"/>
    <s v="GLOBALK COLOMBIA SAS "/>
    <n v="830051855"/>
    <s v="GUANTES DE NITRILO"/>
    <n v="10"/>
    <s v="CAJA X 100"/>
    <n v="42604.17"/>
    <n v="0"/>
    <n v="426041.69999999995"/>
    <x v="10"/>
  </r>
  <r>
    <x v="19"/>
    <s v="58942"/>
    <s v="CONTRATAR LA ADQUISICIÓN DE ELEMENTOS DE PROTECCIÓN PERSONAL PARA LA PREVENCIÓN DEL CONTAGIO DEL CORONAVIRUS COVID-19 (TAPABOCAS DE TELA) "/>
    <d v="2020-11-19T00:00:00"/>
    <d v="2020-11-19T00:00:00"/>
    <n v="1674600"/>
    <n v="0"/>
    <s v="FABIAN PEREZ "/>
    <n v="80736955"/>
    <s v="TAPABOCA TELA POLYESTER ANTI FLUIDO"/>
    <n v="1800"/>
    <s v="UNIDAD"/>
    <n v="847"/>
    <n v="0"/>
    <n v="1524600"/>
    <x v="3"/>
  </r>
  <r>
    <x v="19"/>
    <s v="59665"/>
    <s v="CONTRATAR EN NOMBRE DE LA NACIÓN - CONSEJO SUPERIOR DE LA JUDICATURA - DIRECCIÓN EJECUTIVA SECCIONAL DE ADMINISTRACIÓN JUDICIAL DE VALLEDUPAR LA COMPRA DE DIADEMAS PARA ALGUNOS DESPACHOS Y DEPENDENCIAS ADSCRITOS A LA DIRECCIÓN EJECUTIVA SECCIONAL DE ADMINISTRACIÓN JUDICIAL DE VALLEDUPAR. DIADEMAS LA GUAJIRA "/>
    <d v="2020-11-26T00:00:00"/>
    <d v="2020-12-30T00:00:00"/>
    <n v="43385416.270000003"/>
    <n v="0"/>
    <s v="MULTIVERSE TECH SERVICES SAS "/>
    <n v="900584757"/>
    <s v="DIADEMA INALÁMBRICA_x000a_BIAULAR SENCILLA - HEADSET_x000a_"/>
    <n v="100"/>
    <s v="UNIDAD"/>
    <n v="306372.54621848743"/>
    <n v="58210.783781512611"/>
    <n v="36458333.000000007"/>
    <x v="19"/>
  </r>
  <r>
    <x v="19"/>
    <s v="59669"/>
    <s v="CONTRATAR EN NOMBRE DE LA NACIÓN - CONSEJO SUPERIOR DE LA JUDICATURA - DIRECCIÓN EJECUTIVA SECCIONAL DE ADMINISTRACIÓN JUDICIAL DE VALLEDUPAR LA COMPRA DE DIADEMAS PARA ALGUNOS DESPACHOS Y DEPENDENCIAS ADSCRITOS A LA DIRECCIÓN EJECUTIVA SECCIONAL DE ADMINISTRACIÓN JUDICIAL DE VALLEDUPAR. DIADEMAS CESAR "/>
    <d v="2020-11-26T00:00:00"/>
    <d v="2020-12-30T00:00:00"/>
    <n v="81217500"/>
    <n v="0"/>
    <s v="MULTIVERSE TECH SERVICES SAS "/>
    <n v="900584757"/>
    <s v="DIADEMA INALÁMBRICA_x000a_BIAULAR SENCILLA - HEADSET_x000a_"/>
    <n v="195"/>
    <s v="UNIDAD"/>
    <n v="294117.64705882355"/>
    <n v="55882.352941176476"/>
    <n v="68250000"/>
    <x v="19"/>
  </r>
  <r>
    <x v="19"/>
    <s v="59797"/>
    <s v="CONTRATAR EN NOMBRE DE LA NACIÓN - CONSEJO SUPERIOR DE LA JUDICATURA - DIRECCIÓN EJECUTIVA SECCIONAL DE ADMINISTRACIÓN JUDICIAL DE VALLEDUPAR LA COMPRA DE CÁMARAS WEB Y DIADEMAS PARA ALGUNOS DESPACHOS Y DEPENDENCIAS ADSCRITOS A LA DIRECCIÓN EJECUTIVA SECCIONAL DE ADMINISTRACIÓN JUDICIAL DE VALLEDUPAR. CÁMARAS CESAR "/>
    <d v="2020-11-26T00:00:00"/>
    <d v="2020-12-30T00:00:00"/>
    <n v="32463200"/>
    <n v="0"/>
    <s v="MULTIVERSE TECH SERVICES SAS "/>
    <n v="900584757"/>
    <s v="CAMARAS PARA ESCRITORIO - DIGITECH PRO"/>
    <n v="110"/>
    <s v="UNIDAD"/>
    <n v="248000"/>
    <n v="47120"/>
    <n v="32463200"/>
    <x v="18"/>
  </r>
  <r>
    <x v="19"/>
    <s v="59798"/>
    <s v="CONTRATAR EN NOMBRE DE LA NACIÓN - CONSEJO SUPERIOR DE LA JUDICATURA - DIRECCIÓN EJECUTIVA SECCIONAL DE ADMINISTRACIÓN JUDICIAL DE VALLEDUPAR LA COMPRA DE CÁMARAS WEB Y DIADEMAS PARA ALGUNOS DESPACHOS Y DEPENDENCIAS ADSCRITOS A LA DIRECCIÓN EJECUTIVA SECCIONAL DE ADMINISTRACIÓN JUDICIAL DE VALLEDUPAR. CÁMARAS LA GUAJIRA"/>
    <d v="2020-11-26T00:00:00"/>
    <d v="2020-12-30T00:00:00"/>
    <n v="21826583.050000001"/>
    <n v="0"/>
    <s v="MULTIVERSE TECH SERVICES SAS "/>
    <n v="900584757"/>
    <s v="CAMARAS PARA ESCRITORIO - DIGITECH PRO"/>
    <n v="71"/>
    <s v="UNIDAD"/>
    <n v="258333.33"/>
    <n v="49083.332699999999"/>
    <n v="21826583.0517"/>
    <x v="18"/>
  </r>
  <r>
    <x v="19"/>
    <s v="61591"/>
    <s v="CONTRATAR EN NOMBRE DE LA NACIÓN - CONSEJO SUPERIOR DE LA JUDICATURA - DIRECCIÓN EJECUTIVA SECCIONAL DE ADMINISTRACIÓN JUDICIAL DE VALLEDUPAR LA ADQUISICIÓN DE ELEMENTOS DE ASEO PARA PREVENIR LA PROPAGACIÓN DEL CORONAVIRUS COVID-19 - TOALLAS Y GEL ANTIBACTERIAL VALLEDUPAR"/>
    <d v="2020-12-13T00:00:00"/>
    <d v="2020-12-28T00:00:00"/>
    <n v="16860000"/>
    <n v="0"/>
    <s v="SOLOASEO CAFETERIA DISTRIBUCIONES "/>
    <n v="19254921"/>
    <s v="TOALLA PARA MANOS "/>
    <n v="2000"/>
    <s v="PAQUETE"/>
    <n v="2500"/>
    <n v="475"/>
    <n v="5950000"/>
    <x v="8"/>
  </r>
  <r>
    <x v="19"/>
    <s v="61591"/>
    <s v="CONTRATAR EN NOMBRE DE LA NACIÓN - CONSEJO SUPERIOR DE LA JUDICATURA - DIRECCIÓN EJECUTIVA SECCIONAL DE ADMINISTRACIÓN JUDICIAL DE VALLEDUPAR LA ADQUISICIÓN DE ELEMENTOS DE ASEO PARA PREVENIR LA PROPAGACIÓN DEL CORONAVIRUS COVID-19 - TOALLAS Y GEL ANTIBACTERIAL VALLEDUPAR"/>
    <d v="2020-12-13T00:00:00"/>
    <d v="2020-12-28T00:00:00"/>
    <n v="16860000"/>
    <n v="0"/>
    <s v="SOLOASEO CAFETERIA DISTRIBUCIONES "/>
    <n v="19254921"/>
    <s v=" GEL ANTIBACTERIAL"/>
    <n v="2000"/>
    <s v="LITRO"/>
    <n v="4455"/>
    <n v="0"/>
    <n v="8910000"/>
    <x v="4"/>
  </r>
  <r>
    <x v="19"/>
    <s v="61592"/>
    <s v="CONTRATAR EN NOMBRE DE LA NACIÓN - CONSEJO SUPERIOR DE LA JUDICATURA - DIRECCIÓN EJECUTIVA SECCIONAL DE ADMINISTRACIÓN JUDICIAL DE VALLEDUPAR LA ADQUISICIÓN DE ELEMENTOS DE ASEO PARA PREVENIR LA PROPAGACIÓN DEL CORONAVIRUS COVID-19 - ALCOHOL VALLEDUPAR "/>
    <d v="2020-12-13T00:00:00"/>
    <d v="2020-12-28T00:00:00"/>
    <n v="1979316"/>
    <n v="0"/>
    <s v="SUMIMAS S.A.S"/>
    <n v="830001338"/>
    <s v="ALCOHOL - FRASCO"/>
    <n v="92"/>
    <s v="LITRO"/>
    <n v="3625"/>
    <n v="0"/>
    <n v="333500"/>
    <x v="26"/>
  </r>
  <r>
    <x v="19"/>
    <s v="61592"/>
    <s v="CONTRATAR EN NOMBRE DE LA NACIÓN - CONSEJO SUPERIOR DE LA JUDICATURA - DIRECCIÓN EJECUTIVA SECCIONAL DE ADMINISTRACIÓN JUDICIAL DE VALLEDUPAR LA ADQUISICIÓN DE ELEMENTOS DE ASEO PARA PREVENIR LA PROPAGACIÓN DEL CORONAVIRUS COVID-19 - ALCOHOL VALLEDUPAR "/>
    <d v="2020-12-13T00:00:00"/>
    <d v="2020-12-28T00:00:00"/>
    <n v="1979316"/>
    <n v="0"/>
    <s v="SUMIMAS S.A.S"/>
    <n v="830001338"/>
    <s v="ALCOHOL GALÓN X 3.750 ML - GALON"/>
    <n v="345"/>
    <s v="LITRO"/>
    <n v="3466.1333333333332"/>
    <n v="0"/>
    <n v="1195816"/>
    <x v="26"/>
  </r>
  <r>
    <x v="19"/>
    <s v="61953"/>
    <s v="CONTRATAR EN NOMBRE DE LA NACIÓN - CONSEJO SUPERIOR DE LA JUDICATURA - DIRECCIÓN EJECUTIVA SECCIONAL DE ADMINISTRACIÓN JUDICIAL DE VALLEDUPAR LA ADQUISICIÓN DE ELEMENTOS DE ASEO PARA PREVENIR LA PROPAGACIÓN DEL CORONAVIRUS COVID-19 . TOALLAS Y GEL ANTIBACTERIAL RIOHACHA"/>
    <d v="2020-12-13T00:00:00"/>
    <d v="2020-12-28T00:00:00"/>
    <n v="11779699.449999999"/>
    <n v="0"/>
    <s v="SOLOASEO CAFETERIA DISTRIBUCIONES "/>
    <n v="19254921"/>
    <s v="GEL ANTIBACTERIAL - FC X1LT"/>
    <n v="1200"/>
    <s v="LITRO"/>
    <n v="4640.63"/>
    <n v="0"/>
    <n v="5568756"/>
    <x v="4"/>
  </r>
  <r>
    <x v="19"/>
    <s v="61953"/>
    <s v="CONTRATAR EN NOMBRE DE LA NACIÓN - CONSEJO SUPERIOR DE LA JUDICATURA - DIRECCIÓN EJECUTIVA SECCIONAL DE ADMINISTRACIÓN JUDICIAL DE VALLEDUPAR LA ADQUISICIÓN DE ELEMENTOS DE ASEO PARA PREVENIR LA PROPAGACIÓN DEL CORONAVIRUS COVID-19 . TOALLAS Y GEL ANTIBACTERIAL RIOHACHA"/>
    <d v="2020-12-13T00:00:00"/>
    <d v="2020-12-28T00:00:00"/>
    <n v="11779699.449999999"/>
    <n v="0"/>
    <s v="SOLOASEO CAFETERIA DISTRIBUCIONES "/>
    <n v="19254921"/>
    <s v="TOALLAS PARA MANOS 3 - UNIDAD"/>
    <n v="1500"/>
    <s v="PAQUETE"/>
    <n v="2604.17"/>
    <n v="494.79230000000001"/>
    <n v="4648443.45"/>
    <x v="8"/>
  </r>
  <r>
    <x v="19"/>
    <s v="61594"/>
    <s v="CONTRATAR EN NOMBRE DE LA NACIÓN - CONSEJO SUPERIOR DE LA JUDICATURA - DIRECCIÓN EJECUTIVA SECCIONAL DE ADMINISTRACIÓN JUDICIAL DE VALLEDUPAR LA ADQUISICIÓN DE ELEMENTOS DE ASEO PARA PREVENIR LA PROPAGACIÓN DEL CORONAVIRUS COVID-19 - ALCOHOL RIOHACHA "/>
    <d v="2020-12-13T00:00:00"/>
    <d v="2020-12-28T00:00:00"/>
    <n v="1706603.81"/>
    <n v="0"/>
    <s v="SUMIMAS S.A.S"/>
    <n v="830001338"/>
    <s v="ALCOHOL - FRASCO"/>
    <n v="52"/>
    <s v="LITRO"/>
    <n v="3776.04"/>
    <n v="0"/>
    <n v="196354.08"/>
    <x v="26"/>
  </r>
  <r>
    <x v="19"/>
    <s v="61594"/>
    <s v="CONTRATAR EN NOMBRE DE LA NACIÓN - CONSEJO SUPERIOR DE LA JUDICATURA - DIRECCIÓN EJECUTIVA SECCIONAL DE ADMINISTRACIÓN JUDICIAL DE VALLEDUPAR LA ADQUISICIÓN DE ELEMENTOS DE ASEO PARA PREVENIR LA PROPAGACIÓN DEL CORONAVIRUS COVID-19 - ALCOHOL RIOHACHA "/>
    <d v="2020-12-13T00:00:00"/>
    <d v="2020-12-28T00:00:00"/>
    <n v="1706603.81"/>
    <n v="0"/>
    <s v="SUMIMAS S.A.S"/>
    <n v="830001338"/>
    <s v="ALCOHOL GALÓN X 3.750 ML - GALON"/>
    <n v="300"/>
    <s v="LITRO"/>
    <n v="3610.5546666666664"/>
    <n v="0"/>
    <n v="1083166.3999999999"/>
    <x v="26"/>
  </r>
  <r>
    <x v="20"/>
    <s v="CO1.PCCNTR.1467008"/>
    <s v="ADQUISICIÓN DE INSUMOS DE DESINFECCIÓN PARA ATENDER LA EMERGENCIA SANITARIA OCASIONADA POR EL COVID-19, CON DESTINO A LOS SERVIDORES JUDICIALES DEL DISTRITO JUDICIAL DE VILLAVICENCIO."/>
    <d v="2020-03-24T00:00:00"/>
    <d v="2020-03-24T00:00:00"/>
    <n v="6674000"/>
    <n v="0"/>
    <s v="SOLUCIONES CLEAN COLOMBIA S.A.S"/>
    <n v="901244133"/>
    <s v="GEL ANTIBACTERIAL X 1000 MILILITROS"/>
    <n v="220"/>
    <s v="LITRO"/>
    <n v="25126.050420168067"/>
    <n v="4773.9495798319331"/>
    <n v="6578000"/>
    <x v="4"/>
  </r>
  <r>
    <x v="20"/>
    <s v="CO1.PCCNTR.1467008"/>
    <s v="ADQUISICIÓN DE INSUMOS DE DESINFECCIÓN PARA ATENDER LA EMERGENCIA SANITARIA OCASIONADA POR EL COVID-19, CON DESTINO A LOS SERVIDORES JUDICIALES DEL DISTRITO JUDICIAL DE VILLAVICENCIO."/>
    <d v="2020-03-24T00:00:00"/>
    <d v="2020-03-24T00:00:00"/>
    <n v="6674000"/>
    <n v="0"/>
    <s v="SOLUCIONES CLEAN COLOMBIA S.A.S"/>
    <n v="901244133"/>
    <s v="ENVASE CON TAPA AZUL PUHS DE 250 MILILITROS"/>
    <n v="80"/>
    <s v="UNIDAD"/>
    <n v="1008.4033613445379"/>
    <n v="191.59663865546219"/>
    <n v="96000"/>
    <x v="20"/>
  </r>
  <r>
    <x v="20"/>
    <s v="CO1.PCCNTR.1472202"/>
    <s v="ADQUISICIÒN DE TRAJES DE PROTECCIÒN CORPORAL Y GAFAS DE PROTECCIÒN."/>
    <d v="2020-03-27T00:00:00"/>
    <d v="2020-03-27T00:00:00"/>
    <n v="3918700"/>
    <n v="0"/>
    <s v="DISTRIDOTAR S.A.S"/>
    <n v="900769393"/>
    <s v="TRAJES PROTECTORES DE ALTA DENSIDAD, TALLAS SURTIDAS"/>
    <n v="162"/>
    <s v="UNIDAD"/>
    <n v="18151"/>
    <n v="3448.69"/>
    <n v="3499149.78"/>
    <x v="0"/>
  </r>
  <r>
    <x v="20"/>
    <s v="CO1.PCCNTR.1472202"/>
    <s v="ADQUISICIÒN DE TRAJES DE PROTECCIÒN CORPORAL Y GAFAS DE PROTECCIÒN."/>
    <d v="2020-03-27T00:00:00"/>
    <d v="2020-03-27T00:00:00"/>
    <n v="3918700"/>
    <n v="0"/>
    <s v="DISTRIDOTAR S.A.S"/>
    <n v="900769393"/>
    <s v="GAFA PROTECTORA H019 CLARA"/>
    <n v="50"/>
    <s v="UNIDAD"/>
    <n v="7051"/>
    <n v="1339.69"/>
    <n v="419534.5"/>
    <x v="2"/>
  </r>
  <r>
    <x v="20"/>
    <s v="CO1.PCCNTR.1518075"/>
    <s v="ADQUISICIÓN DE TAPABOCAS"/>
    <d v="2020-04-22T00:00:00"/>
    <d v="2020-04-22T00:00:00"/>
    <n v="3900000"/>
    <n v="0"/>
    <s v="COOESTATAL"/>
    <n v="900536323"/>
    <s v="TAPABOCAS EN TELA QUIRÚRGICA EN TRES CAPAS, FILTRO MEDIO DE 15 GR, FILTRO INTERNO DE 30 GR, SISTEMA DE AJUSTE NASAL RECUBIERTO, ELÁSTICO DELGADO REDONDO.PAQUETE POR 50 UNIDADES"/>
    <n v="3000"/>
    <s v="UNIDAD"/>
    <n v="1300"/>
    <n v="0"/>
    <n v="3900000"/>
    <x v="3"/>
  </r>
  <r>
    <x v="20"/>
    <s v="O.C. 48432"/>
    <s v=" LA ADQUISICIÓN DE ELEMENTOS DE PROTECCIÓN PERSONAL EPP Y ELEMENTOS DE ASEO PARA LOS SERVIDORES JUDICIALES DE LOS DISTRITOS JUDICIALES DE VILLAVICENCIO. EN LAS CARACTERÍSTICAS TÉCNICAS Y DE CALIDAD REQUERIDAS POR LA ENTIDAD."/>
    <d v="2020-05-14T00:00:00"/>
    <d v="2020-05-14T00:00:00"/>
    <n v="6139500"/>
    <n v="0"/>
    <s v="INDUHOTEL SAS"/>
    <n v="900300970"/>
    <s v="GEL ANTIBACTERIAL - FRASCO DE LITRO- PA18"/>
    <n v="200"/>
    <s v="LITRO"/>
    <n v="15525"/>
    <n v="0"/>
    <n v="3105000"/>
    <x v="4"/>
  </r>
  <r>
    <x v="20"/>
    <s v="O.C. 48432"/>
    <s v=" LA ADQUISICIÓN DE ELEMENTOS DE PROTECCIÓN PERSONAL EPP Y ELEMENTOS DE ASEO PARA LOS SERVIDORES JUDICIALES DE LOS DISTRITOS JUDICIALES DE VILLAVICENCIO. EN LAS CARACTERÍSTICAS TÉCNICAS Y DE CALIDAD REQUERIDAS POR LA ENTIDAD."/>
    <d v="2020-05-14T00:00:00"/>
    <d v="2020-05-14T00:00:00"/>
    <n v="6139500"/>
    <n v="0"/>
    <s v="INDUHOTEL SAS"/>
    <n v="900300970"/>
    <s v="TOALLAS PARA MANOS  3- UNIDAD -PA 59"/>
    <n v="500"/>
    <s v="PAQUETE"/>
    <n v="5100"/>
    <n v="969"/>
    <n v="3034500"/>
    <x v="8"/>
  </r>
  <r>
    <x v="20"/>
    <s v="O.C.48430"/>
    <s v=" LA ADQUISICIÓN DE ELEMENTOS DE PROTECCIÓN PERSONAL EPP Y ELEMENTOS DE ASEO PARA LOS SERVIDORES JUDICIALES DE LOS DISTRITOS JUDICIALES DE VILLAVICENCIO. EN LAS CARACTERÍSTICAS TÉCNICAS Y DE CALIDAD REQUERIDAS POR LA ENTIDAD."/>
    <d v="2020-05-14T00:00:00"/>
    <d v="2020-05-14T00:00:00"/>
    <n v="4000000"/>
    <n v="0"/>
    <s v="M.A.S EMPRESARIAL SM SAS"/>
    <n v="900401081"/>
    <s v="TAPABOCAS DOBLE TELA  LAVABLE -EPP-31 - CAJA POR 100 UNIDADES"/>
    <n v="4000"/>
    <s v="UNIDAD"/>
    <n v="1000"/>
    <n v="0"/>
    <n v="4000000"/>
    <x v="3"/>
  </r>
  <r>
    <x v="20"/>
    <s v="O.C. 48839"/>
    <s v="LA ADQUISICIÓN DE ELEMENTOS DE PROTECCIÓN PERSONAL EPP - GUANTES PARA LOS SERVIDORES JUDICIALES DE LOS DISTRITOS JUDICIALES DE VILLAVICENCIO. EN LAS CARACTERÍSTICAS TÉCNICAS Y DE CALIDAD REQUERIDAS POR LA ENTIDAD"/>
    <d v="2020-05-20T00:00:00"/>
    <d v="2020-05-20T00:00:00"/>
    <n v="3036300"/>
    <n v="0"/>
    <s v="OBIFEST S.A.S"/>
    <n v="900350133"/>
    <s v="GUANTES DE NITRILO, CAJA POR 100 UNIDADES"/>
    <n v="58"/>
    <s v="CAJA X 100"/>
    <n v="52350"/>
    <n v="0"/>
    <n v="3036300"/>
    <x v="10"/>
  </r>
  <r>
    <x v="20"/>
    <s v="O.C. 48792"/>
    <s v="LA ADQUISICIÓN DE BAYETILLAS PARA AYUDAR A LA CONTENCIÓN DEL COVID 19, CON DESTINO A LOS SERVIDORES JUDICIALES DE LOS DISTRITOS JUDICIALES DE VILLAVICENCIO. EN LAS CARACTERÍSTICAS TÉCNICAS Y DE CALIDAD REQUERIDAS POR LA ENTIDAD"/>
    <d v="2020-05-20T00:00:00"/>
    <d v="2020-05-20T00:00:00"/>
    <n v="1004360"/>
    <n v="0"/>
    <s v="PANAMERICA LIBRERÍA Y PAPELERIA  S.A"/>
    <n v="830037946"/>
    <s v="BAYETILLA ROJA 35 X 50 CMS"/>
    <n v="200"/>
    <s v="UNIDAD"/>
    <n v="1666"/>
    <n v="0"/>
    <n v="333200"/>
    <x v="27"/>
  </r>
  <r>
    <x v="20"/>
    <s v="O.C. 48792"/>
    <s v="LA ADQUISICIÓN DE BAYETILLAS PARA AYUDAR A LA CONTENCIÓN DEL COVID 19, CON DESTINO A LOS SERVIDORES JUDICIALES DE LOS DISTRITOS JUDICIALES DE VILLAVICENCIO. EN LAS CARACTERÍSTICAS TÉCNICAS Y DE CALIDAD REQUERIDAS POR LA ENTIDAD"/>
    <d v="2020-05-20T00:00:00"/>
    <d v="2020-05-20T00:00:00"/>
    <n v="1004360"/>
    <n v="0"/>
    <s v="PANAMERICA LIBRERÍA Y PAPELERIA  S.A"/>
    <n v="830037946"/>
    <s v="BAYETILLA BLANCA 35 X 50 CMS"/>
    <n v="376"/>
    <s v="UNIDAD"/>
    <n v="1785"/>
    <n v="0"/>
    <n v="671160"/>
    <x v="27"/>
  </r>
  <r>
    <x v="20"/>
    <s v="CO1.PCCNTR. 1610602"/>
    <s v="LA ADQUISICIÓN DE TERMÓMETROS INFRARROJOS Y DISPENSADORES EN GEL PARA LA CONTENCIÓN DEL COVID 19, CON DESTINO A LOS SERVIDORES JUDICIALES DEL DISTRITO JUDICIAL DE VILLAVICENCIO. EN LAS CARACTERÍSTICAS TÉCNICAS Y DE CALIDAD REQUERIDAS POR LA ENTIDAD"/>
    <d v="2020-06-04T00:00:00"/>
    <d v="2020-06-04T00:00:00"/>
    <n v="1560000"/>
    <n v="0"/>
    <s v="ELECTROMUSICAL DEL LLANO SAS"/>
    <n v="900346622"/>
    <s v="DISPENSADOR PARA GEL EN PLÁSTICO CON KIT DE INSTALACIÓN A LA PARED "/>
    <n v="30"/>
    <s v="UNIDAD"/>
    <n v="52000"/>
    <n v="0"/>
    <n v="1560000"/>
    <x v="12"/>
  </r>
  <r>
    <x v="20"/>
    <s v="CO1.PCCNTR. 1610702"/>
    <s v="LA ADQUISICIÓN DE TERMÓMETROS INFRARROJOS Y DISPENSADORES EN GEL PARA LA CONTENCIÓN DEL COVID 19, CON DESTINO A LOS SERVIDORES JUDICIALES DEL DISTRITO JUDICIAL DE VILLAVICENCIO. EN LAS CARACTERÍSTICAS TÉCNICAS Y DE CALIDAD REQUERIDAS POR LA ENTIDAD"/>
    <d v="2020-06-04T00:00:00"/>
    <d v="2020-06-04T00:00:00"/>
    <n v="3900000"/>
    <n v="0"/>
    <s v="ANALYTICA SAS "/>
    <n v="890935513"/>
    <s v="TERMÓMETRO INFRAROJO"/>
    <n v="15"/>
    <s v="UNIDAD"/>
    <n v="260000"/>
    <n v="0"/>
    <n v="3900000"/>
    <x v="22"/>
  </r>
  <r>
    <x v="20"/>
    <s v="O.C. 50837"/>
    <s v="LA ADQUISICIÓN DE CANECAS ESPECIALES, CINTA"/>
    <d v="2020-06-19T00:00:00"/>
    <d v="2020-06-19T00:00:00"/>
    <n v="3957720"/>
    <n v="0"/>
    <s v="CENCOSUD COLOMBIA SA"/>
    <n v="900155107"/>
    <s v="ROLLOS DE CINTA DOBLE FASE GRANDE"/>
    <n v="5"/>
    <s v="ROLLO X 50 MTS"/>
    <n v="126000"/>
    <n v="0"/>
    <n v="630000"/>
    <x v="33"/>
  </r>
  <r>
    <x v="20"/>
    <s v="O.C. 50837"/>
    <s v="LA ADQUISICIÓN DE CANECAS ESPECIALES, CINTA"/>
    <d v="2020-06-19T00:00:00"/>
    <d v="2020-06-19T00:00:00"/>
    <n v="3957720"/>
    <n v="0"/>
    <s v="CENCOSUD COLOMBIA SA"/>
    <n v="900155107"/>
    <s v="CANECA 35 LITROS ROJA TAPA PEDAL"/>
    <n v="60"/>
    <s v="UNIDAD"/>
    <n v="55462"/>
    <n v="0"/>
    <n v="3327720"/>
    <x v="15"/>
  </r>
  <r>
    <x v="20"/>
    <s v="O.C. 50838"/>
    <s v="ADHESIVA, BOLSAS PLÁSTICAS Y CINTA DE SEÑALIZACIÓN PARA AYUDAR A LA CONTENCIÓN DEL COVID-19, CON"/>
    <d v="2020-06-19T00:00:00"/>
    <d v="2020-06-19T00:00:00"/>
    <n v="1063680"/>
    <n v="0"/>
    <s v="PANAMERICANA LIBRERÍA Y PAPELERIA"/>
    <n v="830037946"/>
    <s v="CINTA SEÑALIZACIÓN PELIGRO ROLLO X500MT"/>
    <n v="6"/>
    <s v="ROLLO X 500 MTS"/>
    <n v="44030"/>
    <n v="0"/>
    <n v="264180"/>
    <x v="33"/>
  </r>
  <r>
    <x v="20"/>
    <s v="O.C. 50838"/>
    <s v="ADHESIVA, BOLSAS PLÁSTICAS Y CINTA DE SEÑALIZACIÓN PARA AYUDAR A LA CONTENCIÓN DEL COVID-19, CON"/>
    <d v="2020-06-19T00:00:00"/>
    <d v="2020-06-19T00:00:00"/>
    <n v="1063680"/>
    <n v="0"/>
    <s v="PANAMERICANA LIBRERÍA Y PAPELERIA"/>
    <n v="830037946"/>
    <s v="BOLSA PLASTICA.A/D ROJA 50X60CM C/L "/>
    <n v="40"/>
    <s v="PAQUETE X 100"/>
    <n v="19992"/>
    <n v="0"/>
    <n v="799680"/>
    <x v="37"/>
  </r>
  <r>
    <x v="20"/>
    <s v="O.C. 51024"/>
    <s v="LA ADQUISICIÓN DE ELEMENTOS DE PROTECCIÓN PERSONAL   Y ELEMENTOS DE ASEO PARA AYUDAR A LA CONTENCIÓN DEL COVID 19 A TRAVÉS DEL INSTRUMENTO DE AGREGACION DE DEMADA COVDID 19, CON DESTINO A LOS SERVIDORES JUDICIALES DEL DISTRITO JUDICIAL DE VILLAVICENCIO. EN LAS CARACTERÍSTICAS TÉCNICAS Y DE CALIDAD REQUERIDAS POR LA ENTIDAD."/>
    <d v="2020-06-26T00:00:00"/>
    <d v="2020-06-26T00:00:00"/>
    <n v="1949822"/>
    <n v="0"/>
    <s v="SUMIMAS S.A.S"/>
    <n v="830001338"/>
    <s v="ALCOHOL  FRASCO COV01-PA-1 -"/>
    <n v="265.5"/>
    <s v="LITRO"/>
    <n v="6590.666666666667"/>
    <n v="0"/>
    <n v="1749822"/>
    <x v="26"/>
  </r>
  <r>
    <x v="20"/>
    <s v="O.C. 51025"/>
    <s v="LA ADQUISICIÓN DE ELEMENTOS DE PROTECCIÓN PERSONAL   Y ELEMENTOS DE ASEO PARA AYUDAR A LA CONTENCIÓN DEL COVID 19 A TRAVÉS DEL INSTRUMENTO DE AGREGACION DE DEMADA COVDID 19, CON DESTINO A LOS SERVIDORES JUDICIALES DEL DISTRITO JUDICIAL DE VILLAVICENCIO. EN LAS CARACTERÍSTICAS TÉCNICAS Y DE CALIDAD REQUERIDAS POR LA ENTIDAD."/>
    <d v="2020-06-26T00:00:00"/>
    <d v="2020-06-26T00:00:00"/>
    <n v="2535000"/>
    <n v="0"/>
    <s v="AVANZA INTERNATIONAL GROUP"/>
    <n v="900505419"/>
    <s v="CARETAS VISORES (PROTECTOR FACIAL) "/>
    <n v="350"/>
    <s v="UNIDAD"/>
    <n v="6900"/>
    <n v="0"/>
    <n v="2415000"/>
    <x v="11"/>
  </r>
  <r>
    <x v="20"/>
    <s v="O.C. 51026"/>
    <s v="LA ADQUISICIÓN DE ELEMENTOS DE PROTECCIÓN PERSONAL   Y ELEMENTOS DE ASEO PARA AYUDAR A LA CONTENCIÓN DEL COVID 19 A TRAVÉS DEL INSTRUMENTO DE AGREGACION DE DEMADA COVDID 19, CON DESTINO A LOS SERVIDORES JUDICIALES DEL DISTRITO JUDICIAL DE VILLAVICENCIO. EN LAS CARACTERÍSTICAS TÉCNICAS Y DE CALIDAD REQUERIDAS POR LA ENTIDAD."/>
    <d v="2020-06-26T00:00:00"/>
    <d v="2020-06-26T00:00:00"/>
    <n v="2844000"/>
    <n v="0"/>
    <s v="INDUHOTEL SAS"/>
    <n v="900300970"/>
    <s v="GUANTES DE NITRILO"/>
    <n v="60"/>
    <s v="CAJA X 100"/>
    <n v="46900"/>
    <n v="0"/>
    <n v="2814000"/>
    <x v="10"/>
  </r>
  <r>
    <x v="20"/>
    <s v="O.C. 50978"/>
    <s v="LA ADQUISICIÓN DE ELEMENTOS DE PROTECCIÓN PARA AYUDAR A LA CONTENCIÓN DEL COVID 19 A TRAVÉS DEL INSTRUMENTO DE AGREGACION DE DEMADA COVDID 19, CON DESTINO A LOS SERVIDORES JUDICIALES DEL DISTRITO JUDICIAL DE VILLAVICENCIO. EN LAS CARACTERÍSTICAS TÉCNICAS Y DE CALIDAD REQUERIDAS POR LA ENTIDAD."/>
    <d v="2020-06-26T00:00:00"/>
    <d v="2020-06-26T00:00:00"/>
    <n v="5394001"/>
    <n v="0"/>
    <s v="SUMIMAS S.A.S"/>
    <n v="830001338"/>
    <s v="TABABOCAS DESECHABLES"/>
    <n v="6000"/>
    <s v="UNIDAD"/>
    <n v="899"/>
    <n v="0"/>
    <n v="5394000"/>
    <x v="3"/>
  </r>
  <r>
    <x v="20"/>
    <s v="O.C. 52442"/>
    <s v="ADQUISICIÓN DE CARETAS PARA AYUDAR A LA CONTENCIÓN DEL COVID 19, CON DESTINO A LOS SERVIDORES JUDICIALES DEL DISTRITO JUDICIAL DE VILLAVICENCIO. EN LAS CARACTERÍSTICAS TÉCNICAS Y DE CALIDAD REQUERIDAS POR LA ENTIDAD."/>
    <d v="2020-07-22T00:00:00"/>
    <d v="2020-07-22T00:00:00"/>
    <n v="2410000"/>
    <n v="0"/>
    <s v="CENCOSUD COLOMBIA SA"/>
    <n v="901211678"/>
    <s v="CARETAS VISORES"/>
    <n v="600"/>
    <s v="UNIDAD"/>
    <n v="3850"/>
    <n v="0"/>
    <n v="2310000"/>
    <x v="11"/>
  </r>
  <r>
    <x v="20"/>
    <s v="CO1.PCCNTR.1860601"/>
    <s v="PRESTACIÓN DEL SERVICIO DE APOYO A LA GESTIÓN COMO VIGÍA EN SALUD PARA FORTALECER LAS MEDIDAS DE PREVENCIÓN DEL CONTAGIO Y PROPAGACIÓN DEL COVID -19 EN CUMPLIMIENTO DEL ACUERDO PCSJA20-11567 DEL CSJ, EN LAS SEDES JUDICIALES DE VILLAVICENCIO."/>
    <s v="2020/09/22"/>
    <s v="2020/09/22"/>
    <n v="5006952"/>
    <n v="0"/>
    <s v="KENYA NADEZHDA PRADA MAYORGA"/>
    <n v="1013582086"/>
    <s v="PRESTACIÓN DEL SERVICIO DE VIGIAS  POR TRES MESES"/>
    <n v="1"/>
    <s v="VALOR MENSUAL POR PERSONA"/>
    <n v="1668984"/>
    <n v="0"/>
    <n v="5006952"/>
    <x v="6"/>
  </r>
  <r>
    <x v="20"/>
    <s v="CO1.PCCNTR.1860196"/>
    <s v="PRESTACIÓN DEL SERVICIO DE APOYO A LA GESTIÓN COMO VIGÍA EN SALUD PARA FORTALECER LAS MEDIDAS DE PREVENCIÓN DEL CONTAGIO Y PROPAGACIÓN DEL COVID -19 EN CUMPLIMIENTO DEL ACUERDO PCSJA20-11567 DEL CSJ, EN LAS SEDES JUDICIALES DE VILLAVICENCIO."/>
    <s v="2020/09/22"/>
    <s v="2020/09/22"/>
    <n v="5006952"/>
    <n v="0"/>
    <s v="RAFAEL RAMIRO REYES ZARATE"/>
    <n v="86049403"/>
    <s v="PRESTACIÓN DEL SERVICIO DE VIGIAS  POR TRES MESES"/>
    <n v="1"/>
    <s v="VALOR MENSUAL POR PERSONA"/>
    <n v="1668984"/>
    <n v="0"/>
    <n v="5006952"/>
    <x v="6"/>
  </r>
  <r>
    <x v="20"/>
    <s v="ORDEN DE COMPRA 55231"/>
    <s v="ADQUIRIR GUANTES DE NITRILO"/>
    <s v="2020/09/16"/>
    <s v="2020/09/16"/>
    <n v="1908000"/>
    <n v="0"/>
    <s v="MATRIZ ENERGY &amp; INFRASCTRUCTURE SAS"/>
    <n v="901261986"/>
    <s v="GUANTES DE NITRILO"/>
    <n v="53"/>
    <s v="CAJA X 100"/>
    <n v="36000"/>
    <n v="0"/>
    <n v="1908000"/>
    <x v="10"/>
  </r>
  <r>
    <x v="20"/>
    <s v="ORDEN DE COMPRA 55221"/>
    <s v="ADQUIRIR TAPABOCAS DE TELA LAVABLE"/>
    <s v="2020/09/16"/>
    <s v="2020/09/16"/>
    <n v="4183500"/>
    <n v="0"/>
    <s v="MAS EMPRESARIAL SM SAS"/>
    <n v="900401108"/>
    <s v="TAPABOCAS DOBLE TELA LAVABLE"/>
    <n v="8300"/>
    <s v="UNIDAD"/>
    <n v="495"/>
    <n v="0"/>
    <n v="4108500"/>
    <x v="3"/>
  </r>
  <r>
    <x v="20"/>
    <s v="ORDEN DE COMPRA 59706"/>
    <s v="ADQUIRIR FRASCO ATOMIZADOR"/>
    <d v="2020-11-26T00:00:00"/>
    <d v="2020-11-26T00:00:00"/>
    <n v="221475"/>
    <n v="0"/>
    <s v="PAPER BOX SP SAS"/>
    <n v="90079167"/>
    <s v="ATOMIZADOR"/>
    <n v="100"/>
    <s v="UNIDAD"/>
    <n v="1525"/>
    <n v="289.75"/>
    <n v="181475"/>
    <x v="20"/>
  </r>
  <r>
    <x v="20"/>
    <s v="ORDEN DE COMPRA 59710"/>
    <s v="ADQUIRIR TOALLAS PARA MANOS"/>
    <d v="2020-11-26T00:00:00"/>
    <d v="2020-11-26T00:00:00"/>
    <n v="950992.34"/>
    <n v="0"/>
    <s v="SOLOASEO CAFETERIA DISTRIBUCIONES"/>
    <n v="192549218"/>
    <s v="TOALLAS PARA MANOS"/>
    <n v="214"/>
    <s v="PAQUETE"/>
    <n v="2949"/>
    <n v="560.31000000000006"/>
    <n v="750992.34"/>
    <x v="8"/>
  </r>
  <r>
    <x v="20"/>
    <s v="ORDEN DE COMPRA 59711"/>
    <s v="ADQUIRI GEL Y ALCOHOL"/>
    <d v="2020-11-26T00:00:00"/>
    <d v="2020-11-26T00:00:00"/>
    <n v="2814570"/>
    <n v="0"/>
    <s v="SUMIMAS SAS"/>
    <n v="830001338"/>
    <s v="GEL ANTIBACTERIAL"/>
    <n v="340"/>
    <s v="LITRO"/>
    <n v="4149"/>
    <n v="0"/>
    <n v="1410660"/>
    <x v="4"/>
  </r>
  <r>
    <x v="20"/>
    <s v="ORDEN DE COMPRA 59711"/>
    <s v="ADQUIRI GEL Y ALCOHOL"/>
    <d v="2020-11-26T00:00:00"/>
    <d v="2020-11-26T00:00:00"/>
    <n v="2814570"/>
    <n v="0"/>
    <s v="SUMIMAS SAS"/>
    <n v="830001338"/>
    <s v="ALCOHOL FRASCO"/>
    <n v="270"/>
    <s v="LITRO"/>
    <n v="3533"/>
    <n v="0"/>
    <n v="953910"/>
    <x v="26"/>
  </r>
  <r>
    <x v="20"/>
    <s v="ORDEN DE COMPRA 59712"/>
    <s v="ADQUIRIR GUANTES DE NITRILO"/>
    <d v="2020-11-26T00:00:00"/>
    <d v="2020-11-26T00:00:00"/>
    <n v="5549900"/>
    <n v="0"/>
    <s v="GLOBALK COLOMBIA S.A.S."/>
    <n v="830051855"/>
    <s v="GUANTES DE NITRILO"/>
    <n v="127"/>
    <s v="CAJA X 100"/>
    <n v="43700"/>
    <n v="0"/>
    <n v="5549900"/>
    <x v="10"/>
  </r>
  <r>
    <x v="20"/>
    <s v="ORDEN DE COMPRA 59713"/>
    <s v="ADQUIRIR CARETAS"/>
    <d v="2020-11-26T00:00:00"/>
    <d v="2020-11-26T00:00:00"/>
    <n v="1234000"/>
    <n v="0"/>
    <s v="_x0009_PROCTECH TECNOLOGIA EN PROTECCION SAS"/>
    <n v="90090793"/>
    <s v="CARETAS"/>
    <n v="617"/>
    <s v="UNIDAD"/>
    <n v="2000"/>
    <n v="0"/>
    <n v="1234000"/>
    <x v="11"/>
  </r>
  <r>
    <x v="20"/>
    <s v="ORDEN DE COMPRA 59723"/>
    <s v="ADQUIRIR TAPABOCAS  "/>
    <d v="2020-11-26T00:00:00"/>
    <d v="2020-11-26T00:00:00"/>
    <n v="17585000"/>
    <n v="0"/>
    <s v="_x0009_MAS EMPRESARIAL SM SAS"/>
    <n v="90040108"/>
    <s v="TAPABOCAS"/>
    <n v="31500"/>
    <s v="UNIDAD"/>
    <n v="500"/>
    <n v="0"/>
    <n v="15750000"/>
    <x v="3"/>
  </r>
  <r>
    <x v="20"/>
    <s v="ORDEN DE COMPRA 61829"/>
    <s v="ADQUIRIR GUANTES DE NITRILO"/>
    <d v="2020-11-26T00:00:00"/>
    <d v="2020-11-26T00:00:00"/>
    <n v="6496000"/>
    <n v="0"/>
    <s v="SUQUIN S.A.S"/>
    <n v="90079167"/>
    <s v="GUANTES DE NITRILO"/>
    <n v="127"/>
    <s v="CAJA X 100"/>
    <n v="48000"/>
    <n v="0"/>
    <n v="6096000"/>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5"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25" firstHeaderRow="1" firstDataRow="1" firstDataCol="1"/>
  <pivotFields count="16">
    <pivotField axis="axisRow" showAll="0">
      <items count="22">
        <item x="0"/>
        <item x="1"/>
        <item x="2"/>
        <item x="3"/>
        <item x="4"/>
        <item x="5"/>
        <item x="6"/>
        <item x="7"/>
        <item x="8"/>
        <item x="9"/>
        <item x="10"/>
        <item x="11"/>
        <item x="12"/>
        <item x="13"/>
        <item x="14"/>
        <item x="15"/>
        <item x="16"/>
        <item x="17"/>
        <item x="18"/>
        <item x="19"/>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dataField="1" numFmtId="164" showAll="0"/>
    <pivotField showAll="0"/>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Suma de VALOR TOTAL" fld="14" baseField="0" baseItem="0" numFmtId="44"/>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5"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CATEGORIA">
  <location ref="A3:C62" firstHeaderRow="0" firstDataRow="1" firstDataCol="1"/>
  <pivotFields count="16">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numFmtId="164" showAll="0"/>
    <pivotField dataField="1" numFmtId="164" showAll="0"/>
    <pivotField axis="axisRow" showAll="0">
      <items count="59">
        <item x="25"/>
        <item x="26"/>
        <item x="32"/>
        <item x="14"/>
        <item x="42"/>
        <item x="28"/>
        <item x="41"/>
        <item x="20"/>
        <item x="16"/>
        <item x="34"/>
        <item x="27"/>
        <item x="23"/>
        <item x="37"/>
        <item x="44"/>
        <item x="18"/>
        <item x="50"/>
        <item x="15"/>
        <item x="11"/>
        <item x="40"/>
        <item x="21"/>
        <item x="54"/>
        <item x="53"/>
        <item x="46"/>
        <item x="19"/>
        <item x="12"/>
        <item x="13"/>
        <item x="17"/>
        <item x="2"/>
        <item x="43"/>
        <item x="4"/>
        <item x="24"/>
        <item x="10"/>
        <item x="1"/>
        <item x="45"/>
        <item x="48"/>
        <item x="5"/>
        <item x="52"/>
        <item x="9"/>
        <item x="56"/>
        <item x="30"/>
        <item x="38"/>
        <item x="47"/>
        <item x="29"/>
        <item x="55"/>
        <item x="36"/>
        <item x="31"/>
        <item x="49"/>
        <item x="33"/>
        <item x="39"/>
        <item x="51"/>
        <item x="3"/>
        <item x="35"/>
        <item x="22"/>
        <item x="8"/>
        <item x="0"/>
        <item x="6"/>
        <item x="57"/>
        <item x="7"/>
        <item t="default"/>
      </items>
    </pivotField>
  </pivotFields>
  <rowFields count="1">
    <field x="15"/>
  </rowFields>
  <rowItems count="5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t="grand">
      <x/>
    </i>
  </rowItems>
  <colFields count="1">
    <field x="-2"/>
  </colFields>
  <colItems count="2">
    <i>
      <x/>
    </i>
    <i i="1">
      <x v="1"/>
    </i>
  </colItems>
  <dataFields count="2">
    <dataField name="VALOR TOTAL POR CATEGORIA" fld="14" baseField="0" baseItem="0" numFmtId="44"/>
    <dataField name="VALOR PROMEDIO" fld="12" subtotal="average" baseField="15" baseItem="0"/>
  </dataFields>
  <formats count="3">
    <format dxfId="7">
      <pivotArea outline="0" collapsedLevelsAreSubtotals="1" fieldPosition="0"/>
    </format>
    <format dxfId="1">
      <pivotArea field="15" type="button" dataOnly="0" labelOnly="1" outline="0" axis="axisRow" fieldPosition="0"/>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olombiacompra.coupahost.com/suppliers/show/938" TargetMode="External"/><Relationship Id="rId4" Type="http://schemas.openxmlformats.org/officeDocument/2006/relationships/comments" Target="../comments1.xml"/></Relationships>
</file>

<file path=xl/worksheets/_rels/sheet4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7.xml.rels><?xml version="1.0" encoding="UTF-8" standalone="yes"?>
<Relationships xmlns="http://schemas.openxmlformats.org/package/2006/relationships"><Relationship Id="rId1" Type="http://schemas.openxmlformats.org/officeDocument/2006/relationships/hyperlink" Target="https://colombiacompra.coupahost.com/suppliers/show/938" TargetMode="External"/></Relationships>
</file>

<file path=xl/worksheets/_rels/sheet5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3:B25"/>
  <sheetViews>
    <sheetView workbookViewId="0">
      <selection activeCell="B4" sqref="B4:B25"/>
    </sheetView>
  </sheetViews>
  <sheetFormatPr baseColWidth="10" defaultRowHeight="14.4" x14ac:dyDescent="0.3"/>
  <cols>
    <col min="1" max="1" width="22.109375" customWidth="1"/>
    <col min="2" max="2" width="25.5546875" customWidth="1"/>
  </cols>
  <sheetData>
    <row r="3" spans="1:2" x14ac:dyDescent="0.3">
      <c r="A3" s="60" t="s">
        <v>2309</v>
      </c>
      <c r="B3" t="s">
        <v>2310</v>
      </c>
    </row>
    <row r="4" spans="1:2" x14ac:dyDescent="0.3">
      <c r="A4" s="38" t="s">
        <v>16</v>
      </c>
      <c r="B4" s="43">
        <v>1015190345.3983129</v>
      </c>
    </row>
    <row r="5" spans="1:2" x14ac:dyDescent="0.3">
      <c r="A5" s="38" t="s">
        <v>138</v>
      </c>
      <c r="B5" s="43">
        <v>151061367.99000001</v>
      </c>
    </row>
    <row r="6" spans="1:2" x14ac:dyDescent="0.3">
      <c r="A6" s="38" t="s">
        <v>196</v>
      </c>
      <c r="B6" s="43">
        <v>4479006281.48106</v>
      </c>
    </row>
    <row r="7" spans="1:2" x14ac:dyDescent="0.3">
      <c r="A7" s="38" t="s">
        <v>284</v>
      </c>
      <c r="B7" s="43">
        <v>1718568743.6921999</v>
      </c>
    </row>
    <row r="8" spans="1:2" x14ac:dyDescent="0.3">
      <c r="A8" s="38" t="s">
        <v>402</v>
      </c>
      <c r="B8" s="43">
        <v>1388756746.1378884</v>
      </c>
    </row>
    <row r="9" spans="1:2" x14ac:dyDescent="0.3">
      <c r="A9" s="38" t="s">
        <v>472</v>
      </c>
      <c r="B9" s="43">
        <v>309623292.63</v>
      </c>
    </row>
    <row r="10" spans="1:2" x14ac:dyDescent="0.3">
      <c r="A10" s="38" t="s">
        <v>558</v>
      </c>
      <c r="B10" s="43">
        <v>1325485526.3900001</v>
      </c>
    </row>
    <row r="11" spans="1:2" x14ac:dyDescent="0.3">
      <c r="A11" s="38" t="s">
        <v>657</v>
      </c>
      <c r="B11" s="43">
        <v>732017469.02289999</v>
      </c>
    </row>
    <row r="12" spans="1:2" x14ac:dyDescent="0.3">
      <c r="A12" s="38" t="s">
        <v>690</v>
      </c>
      <c r="B12" s="43">
        <v>814222831.82249999</v>
      </c>
    </row>
    <row r="13" spans="1:2" x14ac:dyDescent="0.3">
      <c r="A13" s="38" t="s">
        <v>809</v>
      </c>
      <c r="B13" s="43">
        <v>579735879.51999998</v>
      </c>
    </row>
    <row r="14" spans="1:2" x14ac:dyDescent="0.3">
      <c r="A14" s="38" t="s">
        <v>861</v>
      </c>
      <c r="B14" s="43">
        <v>692845864.71302009</v>
      </c>
    </row>
    <row r="15" spans="1:2" x14ac:dyDescent="0.3">
      <c r="A15" s="38" t="s">
        <v>1006</v>
      </c>
      <c r="B15" s="43">
        <v>763693300.49828172</v>
      </c>
    </row>
    <row r="16" spans="1:2" x14ac:dyDescent="0.3">
      <c r="A16" s="38" t="s">
        <v>1050</v>
      </c>
      <c r="B16" s="43">
        <v>280805599.99956161</v>
      </c>
    </row>
    <row r="17" spans="1:2" x14ac:dyDescent="0.3">
      <c r="A17" s="38" t="s">
        <v>1091</v>
      </c>
      <c r="B17" s="43">
        <v>795762441.34410143</v>
      </c>
    </row>
    <row r="18" spans="1:2" x14ac:dyDescent="0.3">
      <c r="A18" s="38" t="s">
        <v>1291</v>
      </c>
      <c r="B18" s="43">
        <v>1013232709.8899616</v>
      </c>
    </row>
    <row r="19" spans="1:2" x14ac:dyDescent="0.3">
      <c r="A19" s="38" t="s">
        <v>1306</v>
      </c>
      <c r="B19" s="43">
        <v>610375425.93000007</v>
      </c>
    </row>
    <row r="20" spans="1:2" x14ac:dyDescent="0.3">
      <c r="A20" s="38" t="s">
        <v>1437</v>
      </c>
      <c r="B20" s="43">
        <v>146240298.96000001</v>
      </c>
    </row>
    <row r="21" spans="1:2" x14ac:dyDescent="0.3">
      <c r="A21" s="38" t="s">
        <v>1472</v>
      </c>
      <c r="B21" s="43">
        <v>451490384.70839995</v>
      </c>
    </row>
    <row r="22" spans="1:2" x14ac:dyDescent="0.3">
      <c r="A22" s="38" t="s">
        <v>1571</v>
      </c>
      <c r="B22" s="43">
        <v>347916648.12541264</v>
      </c>
    </row>
    <row r="23" spans="1:2" x14ac:dyDescent="0.3">
      <c r="A23" s="38" t="s">
        <v>1629</v>
      </c>
      <c r="B23" s="43">
        <v>509893816.32069993</v>
      </c>
    </row>
    <row r="24" spans="1:2" x14ac:dyDescent="0.3">
      <c r="A24" s="38" t="s">
        <v>1692</v>
      </c>
      <c r="B24" s="43">
        <v>101794587.62</v>
      </c>
    </row>
    <row r="25" spans="1:2" x14ac:dyDescent="0.3">
      <c r="A25" s="38" t="s">
        <v>2136</v>
      </c>
      <c r="B25" s="43">
        <v>18227719562.194298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sqref="A1:P2"/>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558</v>
      </c>
      <c r="B2" s="10" t="s">
        <v>621</v>
      </c>
      <c r="C2" s="28" t="s">
        <v>1794</v>
      </c>
      <c r="D2" s="12">
        <v>44095</v>
      </c>
      <c r="E2" s="12">
        <v>44097</v>
      </c>
      <c r="F2" s="13">
        <v>5100000</v>
      </c>
      <c r="G2" s="14">
        <v>0</v>
      </c>
      <c r="H2" s="9" t="s">
        <v>622</v>
      </c>
      <c r="I2" s="15">
        <v>900352009</v>
      </c>
      <c r="J2" s="16" t="s">
        <v>1968</v>
      </c>
      <c r="K2" s="17">
        <v>255</v>
      </c>
      <c r="L2" s="18" t="s">
        <v>21</v>
      </c>
      <c r="M2" s="19">
        <v>20000</v>
      </c>
      <c r="N2" s="19">
        <v>0</v>
      </c>
      <c r="O2" s="19">
        <f t="shared" ref="O2" si="0">K2*(M2+N2)</f>
        <v>5100000</v>
      </c>
      <c r="P2" s="21" t="s">
        <v>623</v>
      </c>
    </row>
  </sheetData>
  <dataValidations count="5">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2">
      <formula1>-9223372036854770000</formula1>
      <formula2>9223372036854770000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121</v>
      </c>
      <c r="C2" s="11" t="s">
        <v>122</v>
      </c>
      <c r="D2" s="12">
        <v>44188</v>
      </c>
      <c r="E2" s="12">
        <v>44188</v>
      </c>
      <c r="F2" s="26">
        <v>708360</v>
      </c>
      <c r="G2" s="27">
        <v>0</v>
      </c>
      <c r="H2" s="9" t="s">
        <v>123</v>
      </c>
      <c r="I2" s="15">
        <v>900791672</v>
      </c>
      <c r="J2" s="16" t="s">
        <v>124</v>
      </c>
      <c r="K2" s="17">
        <v>300</v>
      </c>
      <c r="L2" s="18" t="s">
        <v>21</v>
      </c>
      <c r="M2" s="19">
        <v>1480</v>
      </c>
      <c r="N2" s="19">
        <f t="shared" ref="N2" si="0">M2*0.19</f>
        <v>281.2</v>
      </c>
      <c r="O2" s="19">
        <f t="shared" ref="O2:O12" si="1">K2*(M2+N2)</f>
        <v>528360</v>
      </c>
      <c r="P2" s="17" t="s">
        <v>869</v>
      </c>
    </row>
    <row r="3" spans="1:16" x14ac:dyDescent="0.3">
      <c r="A3" s="9" t="s">
        <v>196</v>
      </c>
      <c r="B3" s="10" t="s">
        <v>2001</v>
      </c>
      <c r="C3" s="11" t="s">
        <v>1768</v>
      </c>
      <c r="D3" s="12">
        <v>44145</v>
      </c>
      <c r="E3" s="12">
        <v>44145</v>
      </c>
      <c r="F3" s="13">
        <v>3457300</v>
      </c>
      <c r="G3" s="14">
        <v>0</v>
      </c>
      <c r="H3" s="9" t="s">
        <v>123</v>
      </c>
      <c r="I3" s="15">
        <v>900791672</v>
      </c>
      <c r="J3" s="16" t="s">
        <v>1853</v>
      </c>
      <c r="K3" s="17">
        <v>1500</v>
      </c>
      <c r="L3" s="18" t="s">
        <v>261</v>
      </c>
      <c r="M3" s="19">
        <v>2304.8666666666668</v>
      </c>
      <c r="N3" s="19">
        <v>0</v>
      </c>
      <c r="O3" s="19">
        <f t="shared" si="1"/>
        <v>3457300</v>
      </c>
      <c r="P3" s="17" t="s">
        <v>869</v>
      </c>
    </row>
    <row r="4" spans="1:16" x14ac:dyDescent="0.3">
      <c r="A4" s="9" t="s">
        <v>861</v>
      </c>
      <c r="B4" s="10" t="s">
        <v>862</v>
      </c>
      <c r="C4" s="11" t="s">
        <v>863</v>
      </c>
      <c r="D4" s="12" t="s">
        <v>864</v>
      </c>
      <c r="E4" s="12" t="s">
        <v>864</v>
      </c>
      <c r="F4" s="13">
        <v>21078782</v>
      </c>
      <c r="G4" s="14">
        <v>0</v>
      </c>
      <c r="H4" s="9" t="s">
        <v>865</v>
      </c>
      <c r="I4" s="15">
        <v>900406714</v>
      </c>
      <c r="J4" s="16" t="s">
        <v>868</v>
      </c>
      <c r="K4" s="17">
        <v>4</v>
      </c>
      <c r="L4" s="18" t="s">
        <v>21</v>
      </c>
      <c r="M4" s="19">
        <v>2251.21</v>
      </c>
      <c r="N4" s="19">
        <f t="shared" ref="N4:N7" si="2">M4*0.19</f>
        <v>427.72989999999999</v>
      </c>
      <c r="O4" s="19">
        <f t="shared" si="1"/>
        <v>10715.759599999999</v>
      </c>
      <c r="P4" s="17" t="s">
        <v>869</v>
      </c>
    </row>
    <row r="5" spans="1:16" x14ac:dyDescent="0.3">
      <c r="A5" s="9" t="s">
        <v>861</v>
      </c>
      <c r="B5" s="10" t="s">
        <v>862</v>
      </c>
      <c r="C5" s="11" t="s">
        <v>863</v>
      </c>
      <c r="D5" s="12" t="s">
        <v>864</v>
      </c>
      <c r="E5" s="12" t="s">
        <v>864</v>
      </c>
      <c r="F5" s="13">
        <v>21078782</v>
      </c>
      <c r="G5" s="14">
        <v>0</v>
      </c>
      <c r="H5" s="9" t="s">
        <v>865</v>
      </c>
      <c r="I5" s="15">
        <v>900406714</v>
      </c>
      <c r="J5" s="16" t="s">
        <v>871</v>
      </c>
      <c r="K5" s="17">
        <v>5</v>
      </c>
      <c r="L5" s="18" t="s">
        <v>21</v>
      </c>
      <c r="M5" s="19">
        <v>6303.33</v>
      </c>
      <c r="N5" s="19">
        <f t="shared" si="2"/>
        <v>1197.6327000000001</v>
      </c>
      <c r="O5" s="19">
        <f t="shared" si="1"/>
        <v>37504.813500000004</v>
      </c>
      <c r="P5" s="17" t="s">
        <v>869</v>
      </c>
    </row>
    <row r="6" spans="1:16" x14ac:dyDescent="0.3">
      <c r="A6" s="9" t="s">
        <v>861</v>
      </c>
      <c r="B6" s="10" t="s">
        <v>862</v>
      </c>
      <c r="C6" s="11" t="s">
        <v>863</v>
      </c>
      <c r="D6" s="12" t="s">
        <v>864</v>
      </c>
      <c r="E6" s="12" t="s">
        <v>864</v>
      </c>
      <c r="F6" s="13">
        <v>21078782</v>
      </c>
      <c r="G6" s="14">
        <v>0</v>
      </c>
      <c r="H6" s="9" t="s">
        <v>865</v>
      </c>
      <c r="I6" s="15">
        <v>900406714</v>
      </c>
      <c r="J6" s="16" t="s">
        <v>872</v>
      </c>
      <c r="K6" s="17">
        <v>12</v>
      </c>
      <c r="L6" s="18" t="s">
        <v>21</v>
      </c>
      <c r="M6" s="19">
        <v>2974</v>
      </c>
      <c r="N6" s="19">
        <f t="shared" si="2"/>
        <v>565.06000000000006</v>
      </c>
      <c r="O6" s="19">
        <f t="shared" si="1"/>
        <v>42468.72</v>
      </c>
      <c r="P6" s="17" t="s">
        <v>869</v>
      </c>
    </row>
    <row r="7" spans="1:16" x14ac:dyDescent="0.3">
      <c r="A7" s="9" t="s">
        <v>861</v>
      </c>
      <c r="B7" s="10" t="s">
        <v>975</v>
      </c>
      <c r="C7" s="11" t="s">
        <v>981</v>
      </c>
      <c r="D7" s="12">
        <v>44126</v>
      </c>
      <c r="E7" s="12">
        <v>44134</v>
      </c>
      <c r="F7" s="13">
        <v>2962800</v>
      </c>
      <c r="G7" s="14">
        <v>0</v>
      </c>
      <c r="H7" s="9" t="s">
        <v>977</v>
      </c>
      <c r="I7" s="15" t="s">
        <v>978</v>
      </c>
      <c r="J7" s="16" t="s">
        <v>982</v>
      </c>
      <c r="K7" s="17">
        <v>40</v>
      </c>
      <c r="L7" s="18" t="s">
        <v>21</v>
      </c>
      <c r="M7" s="19">
        <f>4100/1.19</f>
        <v>3445.3781512605042</v>
      </c>
      <c r="N7" s="19">
        <f t="shared" si="2"/>
        <v>654.62184873949582</v>
      </c>
      <c r="O7" s="19">
        <f t="shared" si="1"/>
        <v>164000</v>
      </c>
      <c r="P7" s="17" t="s">
        <v>869</v>
      </c>
    </row>
    <row r="8" spans="1:16" x14ac:dyDescent="0.3">
      <c r="A8" s="9" t="s">
        <v>1306</v>
      </c>
      <c r="B8" s="10" t="s">
        <v>1425</v>
      </c>
      <c r="C8" s="11" t="s">
        <v>1420</v>
      </c>
      <c r="D8" s="12">
        <v>44179</v>
      </c>
      <c r="E8" s="12">
        <v>44179</v>
      </c>
      <c r="F8" s="13">
        <v>1903275</v>
      </c>
      <c r="G8" s="14">
        <v>0</v>
      </c>
      <c r="H8" s="9" t="s">
        <v>508</v>
      </c>
      <c r="I8" s="15" t="s">
        <v>1426</v>
      </c>
      <c r="J8" s="16" t="s">
        <v>1930</v>
      </c>
      <c r="K8" s="17">
        <v>900</v>
      </c>
      <c r="L8" s="18" t="s">
        <v>21</v>
      </c>
      <c r="M8" s="19">
        <v>1525</v>
      </c>
      <c r="N8" s="19">
        <f>M8*0.19</f>
        <v>289.75</v>
      </c>
      <c r="O8" s="19">
        <f t="shared" si="1"/>
        <v>1633275</v>
      </c>
      <c r="P8" s="17" t="s">
        <v>869</v>
      </c>
    </row>
    <row r="9" spans="1:16" x14ac:dyDescent="0.3">
      <c r="A9" s="9" t="s">
        <v>1437</v>
      </c>
      <c r="B9" s="10" t="s">
        <v>2070</v>
      </c>
      <c r="C9" s="11" t="s">
        <v>1438</v>
      </c>
      <c r="D9" s="12">
        <v>43477</v>
      </c>
      <c r="E9" s="12">
        <v>43800</v>
      </c>
      <c r="F9" s="13">
        <v>0</v>
      </c>
      <c r="G9" s="14">
        <v>67434392</v>
      </c>
      <c r="H9" s="9" t="s">
        <v>1439</v>
      </c>
      <c r="I9" s="15">
        <v>811044253</v>
      </c>
      <c r="J9" s="16" t="s">
        <v>1448</v>
      </c>
      <c r="K9" s="17">
        <v>428</v>
      </c>
      <c r="L9" s="18" t="s">
        <v>21</v>
      </c>
      <c r="M9" s="19">
        <v>2944</v>
      </c>
      <c r="N9" s="19">
        <v>0</v>
      </c>
      <c r="O9" s="19">
        <f t="shared" si="1"/>
        <v>1260032</v>
      </c>
      <c r="P9" s="17" t="s">
        <v>869</v>
      </c>
    </row>
    <row r="10" spans="1:16" x14ac:dyDescent="0.3">
      <c r="A10" s="9" t="s">
        <v>1437</v>
      </c>
      <c r="B10" s="10" t="s">
        <v>2070</v>
      </c>
      <c r="C10" s="11" t="s">
        <v>1438</v>
      </c>
      <c r="D10" s="12">
        <v>43477</v>
      </c>
      <c r="E10" s="12">
        <v>43800</v>
      </c>
      <c r="F10" s="13">
        <v>0</v>
      </c>
      <c r="G10" s="14">
        <v>67434392</v>
      </c>
      <c r="H10" s="9" t="s">
        <v>1439</v>
      </c>
      <c r="I10" s="15">
        <v>811044253</v>
      </c>
      <c r="J10" s="16" t="s">
        <v>1449</v>
      </c>
      <c r="K10" s="17">
        <v>424</v>
      </c>
      <c r="L10" s="18" t="s">
        <v>21</v>
      </c>
      <c r="M10" s="19">
        <v>2815</v>
      </c>
      <c r="N10" s="19">
        <v>0</v>
      </c>
      <c r="O10" s="19">
        <f t="shared" si="1"/>
        <v>1193560</v>
      </c>
      <c r="P10" s="17" t="s">
        <v>869</v>
      </c>
    </row>
    <row r="11" spans="1:16" x14ac:dyDescent="0.3">
      <c r="A11" s="9" t="s">
        <v>1629</v>
      </c>
      <c r="B11" s="10" t="s">
        <v>1679</v>
      </c>
      <c r="C11" s="11" t="s">
        <v>1680</v>
      </c>
      <c r="D11" s="12">
        <v>44018</v>
      </c>
      <c r="E11" s="12">
        <v>44018</v>
      </c>
      <c r="F11" s="13">
        <v>24633605</v>
      </c>
      <c r="G11" s="14">
        <v>0</v>
      </c>
      <c r="H11" s="9" t="s">
        <v>1681</v>
      </c>
      <c r="I11" s="15">
        <v>890900943</v>
      </c>
      <c r="J11" s="16" t="s">
        <v>1939</v>
      </c>
      <c r="K11" s="17">
        <v>100</v>
      </c>
      <c r="L11" s="18" t="s">
        <v>21</v>
      </c>
      <c r="M11" s="19">
        <v>6614</v>
      </c>
      <c r="N11" s="19">
        <v>0</v>
      </c>
      <c r="O11" s="19">
        <f t="shared" si="1"/>
        <v>661400</v>
      </c>
      <c r="P11" s="17" t="s">
        <v>869</v>
      </c>
    </row>
    <row r="12" spans="1:16" x14ac:dyDescent="0.3">
      <c r="A12" s="9" t="s">
        <v>1692</v>
      </c>
      <c r="B12" s="10" t="s">
        <v>1693</v>
      </c>
      <c r="C12" s="11" t="s">
        <v>1694</v>
      </c>
      <c r="D12" s="12">
        <v>43914</v>
      </c>
      <c r="E12" s="12">
        <v>43914</v>
      </c>
      <c r="F12" s="13">
        <v>6674000</v>
      </c>
      <c r="G12" s="14">
        <v>0</v>
      </c>
      <c r="H12" s="9" t="s">
        <v>1695</v>
      </c>
      <c r="I12" s="15">
        <v>901244133</v>
      </c>
      <c r="J12" s="16" t="s">
        <v>1697</v>
      </c>
      <c r="K12" s="17">
        <v>80</v>
      </c>
      <c r="L12" s="18" t="s">
        <v>21</v>
      </c>
      <c r="M12" s="19">
        <v>1008.4033613445379</v>
      </c>
      <c r="N12" s="19">
        <f t="shared" ref="N12" si="3">M12*0.19</f>
        <v>191.59663865546219</v>
      </c>
      <c r="O12" s="19">
        <f t="shared" si="1"/>
        <v>96000</v>
      </c>
      <c r="P12" s="17" t="s">
        <v>869</v>
      </c>
    </row>
    <row r="13" spans="1:16" x14ac:dyDescent="0.3">
      <c r="A13" s="9" t="s">
        <v>1692</v>
      </c>
      <c r="B13" s="10" t="s">
        <v>2147</v>
      </c>
      <c r="C13" s="11" t="s">
        <v>2161</v>
      </c>
      <c r="D13" s="12">
        <v>44161</v>
      </c>
      <c r="E13" s="12">
        <v>44161</v>
      </c>
      <c r="F13" s="13">
        <v>221475</v>
      </c>
      <c r="G13" s="14">
        <v>0</v>
      </c>
      <c r="H13" s="9" t="s">
        <v>508</v>
      </c>
      <c r="I13" s="15">
        <v>90079167</v>
      </c>
      <c r="J13" s="16" t="s">
        <v>2166</v>
      </c>
      <c r="K13" s="17">
        <v>100</v>
      </c>
      <c r="L13" s="18" t="s">
        <v>21</v>
      </c>
      <c r="M13" s="19">
        <v>1525</v>
      </c>
      <c r="N13" s="19">
        <f>M13*0.19</f>
        <v>289.75</v>
      </c>
      <c r="O13" s="19">
        <f>K13*(M13+N13)</f>
        <v>181475</v>
      </c>
      <c r="P13" s="17" t="s">
        <v>869</v>
      </c>
    </row>
  </sheetData>
  <dataValidations count="10">
    <dataValidation type="date" allowBlank="1" showInputMessage="1" errorTitle="Entrada no válida" error="Por favor escriba una fecha válida (AAAA/MM/DD)" promptTitle="Ingrese una fecha (AAAA/MM/DD)" prompt=" Registre la fecha en la cual se SUSCRIBIÓ el contrato  (Formato AAAA/MM/DD)." sqref="D4:D6 D9:D10">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11:I12 A2 E4:E6 E9:E10 A11:B12">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4:F6 F9:F1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4:A7">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4:I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4:H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4:B7">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7:E7 D13:E1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7:F8 F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13">
      <formula1>0</formula1>
      <formula2>390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sqref="A1:P7"/>
    </sheetView>
  </sheetViews>
  <sheetFormatPr baseColWidth="10" defaultRowHeight="14.4" x14ac:dyDescent="0.3"/>
  <cols>
    <col min="1" max="1" width="15.88671875" customWidth="1"/>
    <col min="2" max="2" width="24.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99</v>
      </c>
      <c r="C2" s="11" t="s">
        <v>100</v>
      </c>
      <c r="D2" s="12">
        <v>44014</v>
      </c>
      <c r="E2" s="12">
        <v>44014</v>
      </c>
      <c r="F2" s="13">
        <v>64760194</v>
      </c>
      <c r="G2" s="14">
        <v>0</v>
      </c>
      <c r="H2" s="9" t="s">
        <v>101</v>
      </c>
      <c r="I2" s="15">
        <v>800242738</v>
      </c>
      <c r="J2" s="16" t="s">
        <v>1949</v>
      </c>
      <c r="K2" s="17">
        <v>13</v>
      </c>
      <c r="L2" s="18" t="s">
        <v>44</v>
      </c>
      <c r="M2" s="19">
        <v>1540686.61</v>
      </c>
      <c r="N2" s="19">
        <v>0</v>
      </c>
      <c r="O2" s="19">
        <f>(M2/30)*K2*97</f>
        <v>64760193.840333343</v>
      </c>
      <c r="P2" s="21" t="s">
        <v>102</v>
      </c>
    </row>
    <row r="3" spans="1:16" x14ac:dyDescent="0.3">
      <c r="A3" s="9" t="s">
        <v>16</v>
      </c>
      <c r="B3" s="10" t="s">
        <v>99</v>
      </c>
      <c r="C3" s="11" t="s">
        <v>100</v>
      </c>
      <c r="D3" s="12">
        <v>44111</v>
      </c>
      <c r="E3" s="12">
        <v>44112</v>
      </c>
      <c r="F3" s="24">
        <v>30043389</v>
      </c>
      <c r="G3" s="27">
        <v>0</v>
      </c>
      <c r="H3" s="9" t="s">
        <v>101</v>
      </c>
      <c r="I3" s="15">
        <v>800242738</v>
      </c>
      <c r="J3" s="16" t="s">
        <v>133</v>
      </c>
      <c r="K3" s="17">
        <v>13</v>
      </c>
      <c r="L3" s="18" t="s">
        <v>44</v>
      </c>
      <c r="M3" s="19">
        <v>1540686.61</v>
      </c>
      <c r="N3" s="19">
        <v>0</v>
      </c>
      <c r="O3" s="19">
        <f>K3*(M3+N3)*1.5</f>
        <v>30043388.895</v>
      </c>
      <c r="P3" s="21" t="s">
        <v>102</v>
      </c>
    </row>
    <row r="4" spans="1:16" x14ac:dyDescent="0.3">
      <c r="A4" s="9" t="s">
        <v>16</v>
      </c>
      <c r="B4" s="10" t="s">
        <v>134</v>
      </c>
      <c r="C4" s="11" t="s">
        <v>135</v>
      </c>
      <c r="D4" s="12">
        <v>44165</v>
      </c>
      <c r="E4" s="12">
        <v>44166</v>
      </c>
      <c r="F4" s="25">
        <v>59919511.039999999</v>
      </c>
      <c r="G4" s="23">
        <v>0</v>
      </c>
      <c r="H4" s="9" t="s">
        <v>136</v>
      </c>
      <c r="I4" s="15">
        <v>901351365</v>
      </c>
      <c r="J4" s="16" t="s">
        <v>137</v>
      </c>
      <c r="K4" s="17">
        <v>13</v>
      </c>
      <c r="L4" s="18" t="s">
        <v>44</v>
      </c>
      <c r="M4" s="19">
        <v>1648042</v>
      </c>
      <c r="N4" s="19">
        <v>0</v>
      </c>
      <c r="O4" s="19">
        <f>K4*(M4+N4)*3</f>
        <v>64273638</v>
      </c>
      <c r="P4" s="21" t="s">
        <v>102</v>
      </c>
    </row>
    <row r="5" spans="1:16" x14ac:dyDescent="0.3">
      <c r="A5" s="9" t="s">
        <v>690</v>
      </c>
      <c r="B5" s="10" t="s">
        <v>742</v>
      </c>
      <c r="C5" s="11" t="s">
        <v>743</v>
      </c>
      <c r="D5" s="12">
        <v>43983</v>
      </c>
      <c r="E5" s="12">
        <v>43983</v>
      </c>
      <c r="F5" s="13">
        <v>0</v>
      </c>
      <c r="G5" s="14">
        <v>18340586</v>
      </c>
      <c r="H5" s="9" t="s">
        <v>744</v>
      </c>
      <c r="I5" s="15">
        <v>810001366</v>
      </c>
      <c r="J5" s="32" t="s">
        <v>745</v>
      </c>
      <c r="K5" s="17">
        <v>2</v>
      </c>
      <c r="L5" s="18" t="s">
        <v>44</v>
      </c>
      <c r="M5" s="19">
        <v>1834059</v>
      </c>
      <c r="N5" s="19">
        <v>0</v>
      </c>
      <c r="O5" s="19">
        <f>K5*(M5+N5)*5</f>
        <v>18340590</v>
      </c>
      <c r="P5" s="21" t="s">
        <v>102</v>
      </c>
    </row>
    <row r="6" spans="1:16" x14ac:dyDescent="0.3">
      <c r="A6" s="9" t="s">
        <v>690</v>
      </c>
      <c r="B6" s="10" t="s">
        <v>742</v>
      </c>
      <c r="C6" s="11" t="s">
        <v>743</v>
      </c>
      <c r="D6" s="12">
        <v>43983</v>
      </c>
      <c r="E6" s="12">
        <v>43983</v>
      </c>
      <c r="F6" s="13">
        <v>0</v>
      </c>
      <c r="G6" s="14">
        <v>9480267</v>
      </c>
      <c r="H6" s="9" t="s">
        <v>744</v>
      </c>
      <c r="I6" s="15">
        <v>810001366</v>
      </c>
      <c r="J6" s="32" t="s">
        <v>746</v>
      </c>
      <c r="K6" s="17">
        <v>1</v>
      </c>
      <c r="L6" s="18" t="s">
        <v>44</v>
      </c>
      <c r="M6" s="19">
        <v>2106726</v>
      </c>
      <c r="N6" s="19">
        <v>0</v>
      </c>
      <c r="O6" s="19">
        <f>K6*(M6+N6)*4.5</f>
        <v>9480267</v>
      </c>
      <c r="P6" s="21" t="s">
        <v>102</v>
      </c>
    </row>
    <row r="7" spans="1:16" x14ac:dyDescent="0.3">
      <c r="A7" s="9" t="s">
        <v>690</v>
      </c>
      <c r="B7" s="10" t="s">
        <v>742</v>
      </c>
      <c r="C7" s="11" t="s">
        <v>743</v>
      </c>
      <c r="D7" s="12">
        <v>43983</v>
      </c>
      <c r="E7" s="12">
        <v>43983</v>
      </c>
      <c r="F7" s="13">
        <v>0</v>
      </c>
      <c r="G7" s="14">
        <v>43843974</v>
      </c>
      <c r="H7" s="9" t="s">
        <v>744</v>
      </c>
      <c r="I7" s="15">
        <v>810001366</v>
      </c>
      <c r="J7" s="32" t="s">
        <v>747</v>
      </c>
      <c r="K7" s="17">
        <v>20</v>
      </c>
      <c r="L7" s="18" t="s">
        <v>44</v>
      </c>
      <c r="M7" s="19">
        <v>548050</v>
      </c>
      <c r="N7" s="19">
        <v>0</v>
      </c>
      <c r="O7" s="19">
        <f>K7*(M7+N7)*4</f>
        <v>43844000</v>
      </c>
      <c r="P7" s="21" t="s">
        <v>102</v>
      </c>
    </row>
  </sheetData>
  <dataValidations count="10">
    <dataValidation type="date" allowBlank="1" showInputMessage="1" errorTitle="Entrada no válida" error="Por favor escriba una fecha válida (AAAA/MM/DD)" promptTitle="Ingrese una fecha (AAAA/MM/DD)" prompt=" Registre la fecha en la cual se SUSCRIBIÓ la orden (Formato AAAA/MM/DD)." sqref="D6:E7">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5">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5:F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5:A7">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6:I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5:H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6:B7">
      <formula1>0</formula1>
      <formula2>390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E5">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A4">
      <formula1>1900/1/1</formula1>
      <formula2>3000/1/1</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G1" workbookViewId="0">
      <selection activeCell="G10" sqref="G10"/>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196</v>
      </c>
      <c r="B2" s="10" t="s">
        <v>1991</v>
      </c>
      <c r="C2" s="11" t="s">
        <v>1758</v>
      </c>
      <c r="D2" s="12">
        <v>44055</v>
      </c>
      <c r="E2" s="12">
        <v>44062</v>
      </c>
      <c r="F2" s="13">
        <v>3443622</v>
      </c>
      <c r="G2" s="14">
        <v>0</v>
      </c>
      <c r="H2" s="9" t="s">
        <v>263</v>
      </c>
      <c r="I2" s="15">
        <v>805018905</v>
      </c>
      <c r="J2" s="16" t="s">
        <v>1848</v>
      </c>
      <c r="K2" s="17">
        <v>150</v>
      </c>
      <c r="L2" s="18" t="s">
        <v>21</v>
      </c>
      <c r="M2" s="19">
        <v>19292</v>
      </c>
      <c r="N2" s="19">
        <f t="shared" ref="N2:N3" si="0">M2*0.19</f>
        <v>3665.48</v>
      </c>
      <c r="O2" s="19">
        <f t="shared" ref="O2:O9" si="1">K2*(M2+N2)</f>
        <v>3443622</v>
      </c>
      <c r="P2" s="17" t="s">
        <v>1948</v>
      </c>
    </row>
    <row r="3" spans="1:16" x14ac:dyDescent="0.3">
      <c r="A3" s="9" t="s">
        <v>196</v>
      </c>
      <c r="B3" s="10" t="s">
        <v>1992</v>
      </c>
      <c r="C3" s="11" t="s">
        <v>1759</v>
      </c>
      <c r="D3" s="12">
        <v>44083</v>
      </c>
      <c r="E3" s="12">
        <v>44083</v>
      </c>
      <c r="F3" s="13">
        <v>3614232</v>
      </c>
      <c r="G3" s="14">
        <v>0</v>
      </c>
      <c r="H3" s="9" t="s">
        <v>263</v>
      </c>
      <c r="I3" s="15">
        <v>805018905</v>
      </c>
      <c r="J3" s="16" t="s">
        <v>1848</v>
      </c>
      <c r="K3" s="17">
        <v>290</v>
      </c>
      <c r="L3" s="18" t="s">
        <v>21</v>
      </c>
      <c r="M3" s="19">
        <v>10473</v>
      </c>
      <c r="N3" s="19">
        <f t="shared" si="0"/>
        <v>1989.8700000000001</v>
      </c>
      <c r="O3" s="19">
        <f t="shared" si="1"/>
        <v>3614232.3000000003</v>
      </c>
      <c r="P3" s="17" t="s">
        <v>1948</v>
      </c>
    </row>
    <row r="4" spans="1:16" x14ac:dyDescent="0.3">
      <c r="A4" s="9" t="s">
        <v>402</v>
      </c>
      <c r="B4" s="10" t="s">
        <v>462</v>
      </c>
      <c r="C4" s="11" t="s">
        <v>463</v>
      </c>
      <c r="D4" s="12">
        <v>44022</v>
      </c>
      <c r="E4" s="12">
        <v>44025</v>
      </c>
      <c r="F4" s="13">
        <v>24990000</v>
      </c>
      <c r="G4" s="14">
        <v>0</v>
      </c>
      <c r="H4" s="9" t="s">
        <v>449</v>
      </c>
      <c r="I4" s="15">
        <v>800078360</v>
      </c>
      <c r="J4" s="16" t="s">
        <v>1861</v>
      </c>
      <c r="K4" s="17">
        <v>600</v>
      </c>
      <c r="L4" s="18" t="s">
        <v>21</v>
      </c>
      <c r="M4" s="19">
        <v>35000</v>
      </c>
      <c r="N4" s="19">
        <f>M4*0.19</f>
        <v>6650</v>
      </c>
      <c r="O4" s="19">
        <f t="shared" si="1"/>
        <v>24990000</v>
      </c>
      <c r="P4" s="17" t="s">
        <v>1948</v>
      </c>
    </row>
    <row r="5" spans="1:16" x14ac:dyDescent="0.3">
      <c r="A5" s="9" t="s">
        <v>558</v>
      </c>
      <c r="B5" s="10" t="s">
        <v>577</v>
      </c>
      <c r="C5" s="11" t="s">
        <v>578</v>
      </c>
      <c r="D5" s="12">
        <v>43969</v>
      </c>
      <c r="E5" s="12">
        <v>43970</v>
      </c>
      <c r="F5" s="13">
        <v>17409500</v>
      </c>
      <c r="G5" s="14">
        <v>0</v>
      </c>
      <c r="H5" s="9" t="s">
        <v>579</v>
      </c>
      <c r="I5" s="15">
        <v>8301448751</v>
      </c>
      <c r="J5" s="16" t="s">
        <v>580</v>
      </c>
      <c r="K5" s="17">
        <v>500</v>
      </c>
      <c r="L5" s="18" t="s">
        <v>21</v>
      </c>
      <c r="M5" s="19">
        <v>34819</v>
      </c>
      <c r="N5" s="19">
        <v>0</v>
      </c>
      <c r="O5" s="19">
        <f t="shared" si="1"/>
        <v>17409500</v>
      </c>
      <c r="P5" s="17" t="s">
        <v>1948</v>
      </c>
    </row>
    <row r="6" spans="1:16" x14ac:dyDescent="0.3">
      <c r="A6" s="9" t="s">
        <v>1006</v>
      </c>
      <c r="B6" s="10" t="s">
        <v>1028</v>
      </c>
      <c r="C6" s="11" t="s">
        <v>1029</v>
      </c>
      <c r="D6" s="12">
        <v>43978</v>
      </c>
      <c r="E6" s="12">
        <v>43985</v>
      </c>
      <c r="F6" s="13">
        <v>87780000</v>
      </c>
      <c r="G6" s="14">
        <v>0</v>
      </c>
      <c r="H6" s="9" t="s">
        <v>1030</v>
      </c>
      <c r="I6" s="15">
        <v>900490455</v>
      </c>
      <c r="J6" s="16" t="s">
        <v>1893</v>
      </c>
      <c r="K6" s="17">
        <v>30</v>
      </c>
      <c r="L6" s="18" t="s">
        <v>21</v>
      </c>
      <c r="M6" s="19">
        <v>60000</v>
      </c>
      <c r="N6" s="19">
        <v>0</v>
      </c>
      <c r="O6" s="19">
        <f t="shared" si="1"/>
        <v>1800000</v>
      </c>
      <c r="P6" s="17" t="s">
        <v>1948</v>
      </c>
    </row>
    <row r="7" spans="1:16" x14ac:dyDescent="0.3">
      <c r="A7" s="9" t="s">
        <v>1006</v>
      </c>
      <c r="B7" s="10" t="s">
        <v>1028</v>
      </c>
      <c r="C7" s="11" t="s">
        <v>1029</v>
      </c>
      <c r="D7" s="12">
        <v>43978</v>
      </c>
      <c r="E7" s="12">
        <v>43985</v>
      </c>
      <c r="F7" s="13">
        <v>87780000</v>
      </c>
      <c r="G7" s="14">
        <v>0</v>
      </c>
      <c r="H7" s="9" t="s">
        <v>1030</v>
      </c>
      <c r="I7" s="15">
        <v>900490455</v>
      </c>
      <c r="J7" s="16" t="s">
        <v>1894</v>
      </c>
      <c r="K7" s="17">
        <v>50</v>
      </c>
      <c r="L7" s="18" t="s">
        <v>21</v>
      </c>
      <c r="M7" s="19">
        <v>60000</v>
      </c>
      <c r="N7" s="19">
        <v>0</v>
      </c>
      <c r="O7" s="19">
        <f t="shared" si="1"/>
        <v>3000000</v>
      </c>
      <c r="P7" s="17" t="s">
        <v>1948</v>
      </c>
    </row>
    <row r="8" spans="1:16" x14ac:dyDescent="0.3">
      <c r="A8" s="9" t="s">
        <v>1006</v>
      </c>
      <c r="B8" s="10" t="s">
        <v>1028</v>
      </c>
      <c r="C8" s="11" t="s">
        <v>1029</v>
      </c>
      <c r="D8" s="12">
        <v>43978</v>
      </c>
      <c r="E8" s="12">
        <v>43985</v>
      </c>
      <c r="F8" s="13">
        <v>87780000</v>
      </c>
      <c r="G8" s="14">
        <v>0</v>
      </c>
      <c r="H8" s="9" t="s">
        <v>1030</v>
      </c>
      <c r="I8" s="15">
        <v>900490455</v>
      </c>
      <c r="J8" s="16" t="s">
        <v>1895</v>
      </c>
      <c r="K8" s="17">
        <v>200</v>
      </c>
      <c r="L8" s="18" t="s">
        <v>21</v>
      </c>
      <c r="M8" s="19">
        <v>65000</v>
      </c>
      <c r="N8" s="19">
        <v>0</v>
      </c>
      <c r="O8" s="19">
        <f t="shared" si="1"/>
        <v>13000000</v>
      </c>
      <c r="P8" s="17" t="s">
        <v>1948</v>
      </c>
    </row>
    <row r="9" spans="1:16" x14ac:dyDescent="0.3">
      <c r="A9" s="9" t="s">
        <v>1006</v>
      </c>
      <c r="B9" s="10" t="s">
        <v>1028</v>
      </c>
      <c r="C9" s="11" t="s">
        <v>1029</v>
      </c>
      <c r="D9" s="12">
        <v>43978</v>
      </c>
      <c r="E9" s="12">
        <v>43985</v>
      </c>
      <c r="F9" s="13">
        <v>87780000</v>
      </c>
      <c r="G9" s="14">
        <v>0</v>
      </c>
      <c r="H9" s="9" t="s">
        <v>1030</v>
      </c>
      <c r="I9" s="15">
        <v>900490455</v>
      </c>
      <c r="J9" s="16" t="s">
        <v>1896</v>
      </c>
      <c r="K9" s="17">
        <v>50</v>
      </c>
      <c r="L9" s="18" t="s">
        <v>21</v>
      </c>
      <c r="M9" s="19">
        <v>65000</v>
      </c>
      <c r="N9" s="19">
        <v>0</v>
      </c>
      <c r="O9" s="19">
        <f t="shared" si="1"/>
        <v>3250000</v>
      </c>
      <c r="P9" s="17" t="s">
        <v>1948</v>
      </c>
    </row>
    <row r="10" spans="1:16" x14ac:dyDescent="0.3">
      <c r="A10" s="9" t="s">
        <v>1451</v>
      </c>
      <c r="B10" s="10">
        <v>35</v>
      </c>
      <c r="C10" s="11" t="s">
        <v>1438</v>
      </c>
      <c r="D10" s="12">
        <v>43797</v>
      </c>
      <c r="E10" s="12">
        <v>43800</v>
      </c>
      <c r="F10" s="13">
        <v>2461193783</v>
      </c>
      <c r="G10" s="14">
        <v>89183109</v>
      </c>
      <c r="H10" s="9" t="s">
        <v>1452</v>
      </c>
      <c r="I10" s="15" t="s">
        <v>1453</v>
      </c>
      <c r="J10" s="16" t="s">
        <v>1454</v>
      </c>
      <c r="K10" s="17">
        <v>120</v>
      </c>
      <c r="L10" s="18" t="s">
        <v>21</v>
      </c>
      <c r="M10" s="19">
        <v>27000</v>
      </c>
      <c r="N10" s="19">
        <v>0</v>
      </c>
      <c r="O10" s="19">
        <f t="shared" ref="O10" si="2">K10*(M10+N10)</f>
        <v>3240000</v>
      </c>
      <c r="P10" s="17" t="s">
        <v>1948</v>
      </c>
    </row>
  </sheetData>
  <dataValidations count="13">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10 A4:A5">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4:I5">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D4 B5:B10">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E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H4">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F4">
      <formula1>0</formula1>
      <formula2>8</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B4">
      <formula1>0</formula1>
      <formula2>290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5:D10">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5:E1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10 F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5:H10">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6:I10">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0">
      <formula1>-9223372036854770000</formula1>
      <formula2>9223372036854770000</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sqref="A1:P7"/>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138</v>
      </c>
      <c r="B2" s="10" t="s">
        <v>181</v>
      </c>
      <c r="C2" s="28" t="s">
        <v>182</v>
      </c>
      <c r="D2" s="12">
        <v>43984</v>
      </c>
      <c r="E2" s="12">
        <v>43984</v>
      </c>
      <c r="F2" s="13">
        <v>12960000</v>
      </c>
      <c r="G2" s="14">
        <v>0</v>
      </c>
      <c r="H2" s="9" t="s">
        <v>183</v>
      </c>
      <c r="I2" s="15">
        <v>900616935</v>
      </c>
      <c r="J2" s="16" t="s">
        <v>186</v>
      </c>
      <c r="K2" s="17">
        <v>3000</v>
      </c>
      <c r="L2" s="29" t="s">
        <v>21</v>
      </c>
      <c r="M2" s="19">
        <v>3000</v>
      </c>
      <c r="N2" s="19">
        <v>0</v>
      </c>
      <c r="O2" s="19">
        <f t="shared" ref="O2:O7" si="0">K2*(M2+N2)</f>
        <v>9000000</v>
      </c>
      <c r="P2" s="21" t="s">
        <v>187</v>
      </c>
    </row>
    <row r="3" spans="1:16" x14ac:dyDescent="0.3">
      <c r="A3" s="9" t="s">
        <v>284</v>
      </c>
      <c r="B3" s="10" t="s">
        <v>308</v>
      </c>
      <c r="C3" s="11" t="s">
        <v>309</v>
      </c>
      <c r="D3" s="12">
        <v>43958</v>
      </c>
      <c r="E3" s="12">
        <v>43958</v>
      </c>
      <c r="F3" s="13">
        <v>3284400</v>
      </c>
      <c r="G3" s="14">
        <v>0</v>
      </c>
      <c r="H3" s="9" t="s">
        <v>310</v>
      </c>
      <c r="I3" s="15">
        <v>830037946</v>
      </c>
      <c r="J3" s="16" t="s">
        <v>311</v>
      </c>
      <c r="K3" s="17">
        <v>1840</v>
      </c>
      <c r="L3" s="18" t="s">
        <v>21</v>
      </c>
      <c r="M3" s="19">
        <v>1785</v>
      </c>
      <c r="N3" s="19">
        <v>0</v>
      </c>
      <c r="O3" s="19">
        <f t="shared" si="0"/>
        <v>3284400</v>
      </c>
      <c r="P3" s="17" t="s">
        <v>187</v>
      </c>
    </row>
    <row r="4" spans="1:16" x14ac:dyDescent="0.3">
      <c r="A4" s="9" t="s">
        <v>402</v>
      </c>
      <c r="B4" s="10" t="s">
        <v>432</v>
      </c>
      <c r="C4" s="11" t="s">
        <v>433</v>
      </c>
      <c r="D4" s="12">
        <v>43972</v>
      </c>
      <c r="E4" s="12">
        <v>43972</v>
      </c>
      <c r="F4" s="13">
        <v>2520000</v>
      </c>
      <c r="G4" s="14">
        <v>0</v>
      </c>
      <c r="H4" s="9" t="s">
        <v>405</v>
      </c>
      <c r="I4" s="15">
        <v>830037946</v>
      </c>
      <c r="J4" s="16" t="s">
        <v>434</v>
      </c>
      <c r="K4" s="17">
        <v>1500</v>
      </c>
      <c r="L4" s="18" t="s">
        <v>21</v>
      </c>
      <c r="M4" s="19">
        <v>1411.7647058823529</v>
      </c>
      <c r="N4" s="19">
        <f>M4*0.19</f>
        <v>268.23529411764707</v>
      </c>
      <c r="O4" s="19">
        <f t="shared" si="0"/>
        <v>2520000</v>
      </c>
      <c r="P4" s="17" t="s">
        <v>187</v>
      </c>
    </row>
    <row r="5" spans="1:16" x14ac:dyDescent="0.3">
      <c r="A5" s="9" t="s">
        <v>472</v>
      </c>
      <c r="B5" s="10" t="s">
        <v>510</v>
      </c>
      <c r="C5" s="11" t="s">
        <v>511</v>
      </c>
      <c r="D5" s="12">
        <v>43969</v>
      </c>
      <c r="E5" s="12">
        <v>43969</v>
      </c>
      <c r="F5" s="13">
        <v>2192694</v>
      </c>
      <c r="G5" s="14">
        <v>0</v>
      </c>
      <c r="H5" s="9" t="s">
        <v>512</v>
      </c>
      <c r="I5" s="15">
        <v>830037946</v>
      </c>
      <c r="J5" s="16" t="s">
        <v>513</v>
      </c>
      <c r="K5" s="17">
        <v>268</v>
      </c>
      <c r="L5" s="18" t="s">
        <v>21</v>
      </c>
      <c r="M5" s="19">
        <v>1500</v>
      </c>
      <c r="N5" s="19">
        <f t="shared" ref="N5" si="1">M5*0.19</f>
        <v>285</v>
      </c>
      <c r="O5" s="19">
        <f t="shared" si="0"/>
        <v>478380</v>
      </c>
      <c r="P5" s="17" t="s">
        <v>187</v>
      </c>
    </row>
    <row r="6" spans="1:16" x14ac:dyDescent="0.3">
      <c r="A6" s="9" t="s">
        <v>1692</v>
      </c>
      <c r="B6" s="10" t="s">
        <v>1718</v>
      </c>
      <c r="C6" s="11" t="s">
        <v>1719</v>
      </c>
      <c r="D6" s="12">
        <v>43971</v>
      </c>
      <c r="E6" s="12">
        <v>43971</v>
      </c>
      <c r="F6" s="13">
        <v>1004360</v>
      </c>
      <c r="G6" s="14">
        <v>0</v>
      </c>
      <c r="H6" s="9" t="s">
        <v>1720</v>
      </c>
      <c r="I6" s="15">
        <v>830037946</v>
      </c>
      <c r="J6" s="16" t="s">
        <v>1721</v>
      </c>
      <c r="K6" s="17">
        <v>200</v>
      </c>
      <c r="L6" s="18" t="s">
        <v>21</v>
      </c>
      <c r="M6" s="19">
        <v>1666</v>
      </c>
      <c r="N6" s="19">
        <v>0</v>
      </c>
      <c r="O6" s="19">
        <f t="shared" si="0"/>
        <v>333200</v>
      </c>
      <c r="P6" s="17" t="s">
        <v>187</v>
      </c>
    </row>
    <row r="7" spans="1:16" x14ac:dyDescent="0.3">
      <c r="A7" s="9" t="s">
        <v>1692</v>
      </c>
      <c r="B7" s="10" t="s">
        <v>1718</v>
      </c>
      <c r="C7" s="11" t="s">
        <v>1719</v>
      </c>
      <c r="D7" s="12">
        <v>43971</v>
      </c>
      <c r="E7" s="12">
        <v>43971</v>
      </c>
      <c r="F7" s="13">
        <v>1004360</v>
      </c>
      <c r="G7" s="14">
        <v>0</v>
      </c>
      <c r="H7" s="9" t="s">
        <v>1720</v>
      </c>
      <c r="I7" s="15">
        <v>830037946</v>
      </c>
      <c r="J7" s="16" t="s">
        <v>1722</v>
      </c>
      <c r="K7" s="17">
        <v>376</v>
      </c>
      <c r="L7" s="18" t="s">
        <v>21</v>
      </c>
      <c r="M7" s="19">
        <v>1785</v>
      </c>
      <c r="N7" s="19">
        <v>0</v>
      </c>
      <c r="O7" s="19">
        <f t="shared" si="0"/>
        <v>671160</v>
      </c>
      <c r="P7" s="17" t="s">
        <v>187</v>
      </c>
    </row>
  </sheetData>
  <dataValidations count="11">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2:I2 A2:B2 E3:E5">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3 D5">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 F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 A5:A7">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 I5:I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 H5:H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 B5">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4">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6:E7">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6:F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6:B7">
      <formula1>0</formula1>
      <formula2>390</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selection sqref="A1:P4"/>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138</v>
      </c>
      <c r="B2" s="10" t="s">
        <v>139</v>
      </c>
      <c r="C2" s="28" t="s">
        <v>140</v>
      </c>
      <c r="D2" s="12">
        <v>43908</v>
      </c>
      <c r="E2" s="12">
        <v>43908</v>
      </c>
      <c r="F2" s="13">
        <v>7176804</v>
      </c>
      <c r="G2" s="14">
        <v>0</v>
      </c>
      <c r="H2" s="9" t="s">
        <v>141</v>
      </c>
      <c r="I2" s="15">
        <v>800031358</v>
      </c>
      <c r="J2" s="16" t="s">
        <v>142</v>
      </c>
      <c r="K2" s="17">
        <v>400</v>
      </c>
      <c r="L2" s="29" t="s">
        <v>36</v>
      </c>
      <c r="M2" s="19">
        <v>2158.35</v>
      </c>
      <c r="N2" s="19">
        <f t="shared" ref="N2" si="0">M2*0.19</f>
        <v>410.0865</v>
      </c>
      <c r="O2" s="19">
        <f t="shared" ref="O2:O4" si="1">K2*(M2+N2)</f>
        <v>1027374.5999999999</v>
      </c>
      <c r="P2" s="21" t="s">
        <v>143</v>
      </c>
    </row>
    <row r="3" spans="1:16" x14ac:dyDescent="0.3">
      <c r="A3" s="9" t="s">
        <v>1472</v>
      </c>
      <c r="B3" s="10" t="s">
        <v>1561</v>
      </c>
      <c r="C3" s="11" t="s">
        <v>1562</v>
      </c>
      <c r="D3" s="12">
        <v>43770</v>
      </c>
      <c r="E3" s="12">
        <v>43936</v>
      </c>
      <c r="F3" s="13">
        <v>0</v>
      </c>
      <c r="G3" s="14">
        <v>31068000</v>
      </c>
      <c r="H3" s="9" t="s">
        <v>1563</v>
      </c>
      <c r="I3" s="15">
        <v>812000152</v>
      </c>
      <c r="J3" s="16" t="s">
        <v>1568</v>
      </c>
      <c r="K3" s="17">
        <v>400</v>
      </c>
      <c r="L3" s="29" t="s">
        <v>36</v>
      </c>
      <c r="M3" s="19">
        <v>1750</v>
      </c>
      <c r="N3" s="19">
        <v>0</v>
      </c>
      <c r="O3" s="19">
        <f t="shared" si="1"/>
        <v>700000</v>
      </c>
      <c r="P3" s="17" t="s">
        <v>143</v>
      </c>
    </row>
    <row r="4" spans="1:16" x14ac:dyDescent="0.3">
      <c r="A4" s="9" t="s">
        <v>1472</v>
      </c>
      <c r="B4" s="10" t="s">
        <v>1561</v>
      </c>
      <c r="C4" s="11" t="s">
        <v>1562</v>
      </c>
      <c r="D4" s="12">
        <v>43770</v>
      </c>
      <c r="E4" s="12">
        <v>43936</v>
      </c>
      <c r="F4" s="13">
        <v>0</v>
      </c>
      <c r="G4" s="14">
        <v>31068000</v>
      </c>
      <c r="H4" s="9" t="s">
        <v>1563</v>
      </c>
      <c r="I4" s="15">
        <v>812000152</v>
      </c>
      <c r="J4" s="16" t="s">
        <v>1568</v>
      </c>
      <c r="K4" s="17">
        <v>379</v>
      </c>
      <c r="L4" s="29" t="s">
        <v>36</v>
      </c>
      <c r="M4" s="19">
        <v>1849</v>
      </c>
      <c r="N4" s="19">
        <v>0</v>
      </c>
      <c r="O4" s="19">
        <f t="shared" si="1"/>
        <v>700771</v>
      </c>
      <c r="P4" s="17" t="s">
        <v>143</v>
      </c>
    </row>
  </sheetData>
  <dataValidations count="1">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B2 D2:I2">
      <formula1>1900/1/1</formula1>
      <formula2>3000/1/1</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opLeftCell="G1" workbookViewId="0">
      <selection sqref="A1:P11"/>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 min="18" max="18" width="11.88671875" bestFit="1" customWidth="1"/>
  </cols>
  <sheetData>
    <row r="1" spans="1:18"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8" x14ac:dyDescent="0.3">
      <c r="A2" s="9" t="s">
        <v>472</v>
      </c>
      <c r="B2" s="10" t="s">
        <v>510</v>
      </c>
      <c r="C2" s="11" t="s">
        <v>511</v>
      </c>
      <c r="D2" s="12">
        <v>43969</v>
      </c>
      <c r="E2" s="12">
        <v>43969</v>
      </c>
      <c r="F2" s="13">
        <v>2192694</v>
      </c>
      <c r="G2" s="14">
        <v>0</v>
      </c>
      <c r="H2" s="9" t="s">
        <v>512</v>
      </c>
      <c r="I2" s="15">
        <v>830037946</v>
      </c>
      <c r="J2" s="16" t="s">
        <v>514</v>
      </c>
      <c r="K2" s="17">
        <v>37</v>
      </c>
      <c r="L2" s="18" t="s">
        <v>515</v>
      </c>
      <c r="M2" s="19">
        <v>16800</v>
      </c>
      <c r="N2" s="19">
        <f t="shared" ref="N2:N3" si="0">M2*0.19</f>
        <v>3192</v>
      </c>
      <c r="O2" s="19">
        <f t="shared" ref="O2:O11" si="1">K2*(M2+N2)</f>
        <v>739704</v>
      </c>
      <c r="P2" s="17" t="s">
        <v>516</v>
      </c>
    </row>
    <row r="3" spans="1:18" x14ac:dyDescent="0.3">
      <c r="A3" s="9" t="s">
        <v>472</v>
      </c>
      <c r="B3" s="10" t="s">
        <v>510</v>
      </c>
      <c r="C3" s="11" t="s">
        <v>511</v>
      </c>
      <c r="D3" s="12">
        <v>43969</v>
      </c>
      <c r="E3" s="12">
        <v>43969</v>
      </c>
      <c r="F3" s="13">
        <v>2192694</v>
      </c>
      <c r="G3" s="14">
        <v>0</v>
      </c>
      <c r="H3" s="9" t="s">
        <v>512</v>
      </c>
      <c r="I3" s="15">
        <v>830037946</v>
      </c>
      <c r="J3" s="16" t="s">
        <v>517</v>
      </c>
      <c r="K3" s="17">
        <v>63</v>
      </c>
      <c r="L3" s="18" t="s">
        <v>515</v>
      </c>
      <c r="M3" s="19">
        <v>13000</v>
      </c>
      <c r="N3" s="19">
        <f t="shared" si="0"/>
        <v>2470</v>
      </c>
      <c r="O3" s="19">
        <f t="shared" si="1"/>
        <v>974610</v>
      </c>
      <c r="P3" s="17" t="s">
        <v>516</v>
      </c>
    </row>
    <row r="4" spans="1:18" x14ac:dyDescent="0.3">
      <c r="A4" s="9" t="s">
        <v>657</v>
      </c>
      <c r="B4" s="10" t="s">
        <v>670</v>
      </c>
      <c r="C4" s="11" t="s">
        <v>671</v>
      </c>
      <c r="D4" s="12">
        <v>44015</v>
      </c>
      <c r="E4" s="12">
        <v>44018</v>
      </c>
      <c r="F4" s="13">
        <v>201000100</v>
      </c>
      <c r="G4" s="14">
        <v>0</v>
      </c>
      <c r="H4" s="9" t="s">
        <v>660</v>
      </c>
      <c r="I4" s="15">
        <v>813005241</v>
      </c>
      <c r="J4" s="16" t="s">
        <v>676</v>
      </c>
      <c r="K4" s="17">
        <v>200</v>
      </c>
      <c r="L4" s="18" t="s">
        <v>515</v>
      </c>
      <c r="M4" s="19">
        <v>17500</v>
      </c>
      <c r="N4" s="19">
        <v>0</v>
      </c>
      <c r="O4" s="19">
        <f t="shared" si="1"/>
        <v>3500000</v>
      </c>
      <c r="P4" s="17" t="s">
        <v>516</v>
      </c>
    </row>
    <row r="5" spans="1:18" x14ac:dyDescent="0.3">
      <c r="A5" s="9" t="s">
        <v>809</v>
      </c>
      <c r="B5" s="10" t="s">
        <v>856</v>
      </c>
      <c r="C5" s="11" t="s">
        <v>857</v>
      </c>
      <c r="D5" s="12">
        <v>44015</v>
      </c>
      <c r="E5" s="12">
        <v>44018</v>
      </c>
      <c r="F5" s="13">
        <v>14999192</v>
      </c>
      <c r="G5" s="14">
        <v>0</v>
      </c>
      <c r="H5" s="9" t="s">
        <v>858</v>
      </c>
      <c r="I5" s="15">
        <v>900471617</v>
      </c>
      <c r="J5" s="16" t="s">
        <v>860</v>
      </c>
      <c r="K5" s="17">
        <v>303</v>
      </c>
      <c r="L5" s="18" t="s">
        <v>515</v>
      </c>
      <c r="M5" s="19">
        <v>5600</v>
      </c>
      <c r="N5" s="19">
        <f t="shared" ref="N5:N10" si="2">M5*0.19</f>
        <v>1064</v>
      </c>
      <c r="O5" s="19">
        <f t="shared" si="1"/>
        <v>2019192</v>
      </c>
      <c r="P5" s="17" t="s">
        <v>516</v>
      </c>
    </row>
    <row r="6" spans="1:18" x14ac:dyDescent="0.3">
      <c r="A6" s="9" t="s">
        <v>861</v>
      </c>
      <c r="B6" s="10" t="s">
        <v>888</v>
      </c>
      <c r="C6" s="11" t="s">
        <v>884</v>
      </c>
      <c r="D6" s="12" t="s">
        <v>885</v>
      </c>
      <c r="E6" s="12" t="s">
        <v>885</v>
      </c>
      <c r="F6" s="13">
        <v>1081500</v>
      </c>
      <c r="G6" s="14">
        <v>0</v>
      </c>
      <c r="H6" s="9" t="s">
        <v>889</v>
      </c>
      <c r="I6" s="15">
        <v>15354493</v>
      </c>
      <c r="J6" s="16" t="s">
        <v>891</v>
      </c>
      <c r="K6" s="17">
        <v>5</v>
      </c>
      <c r="L6" s="18" t="s">
        <v>515</v>
      </c>
      <c r="M6" s="19">
        <v>4621.84</v>
      </c>
      <c r="N6" s="19">
        <f t="shared" si="2"/>
        <v>878.14960000000008</v>
      </c>
      <c r="O6" s="19">
        <f t="shared" si="1"/>
        <v>27499.948</v>
      </c>
      <c r="P6" s="17" t="s">
        <v>516</v>
      </c>
    </row>
    <row r="7" spans="1:18" x14ac:dyDescent="0.3">
      <c r="A7" s="9" t="s">
        <v>861</v>
      </c>
      <c r="B7" s="10" t="s">
        <v>888</v>
      </c>
      <c r="C7" s="11" t="s">
        <v>884</v>
      </c>
      <c r="D7" s="12" t="s">
        <v>885</v>
      </c>
      <c r="E7" s="12" t="s">
        <v>885</v>
      </c>
      <c r="F7" s="13">
        <v>1081500</v>
      </c>
      <c r="G7" s="14">
        <v>0</v>
      </c>
      <c r="H7" s="9" t="s">
        <v>889</v>
      </c>
      <c r="I7" s="15">
        <v>15354493</v>
      </c>
      <c r="J7" s="16" t="s">
        <v>892</v>
      </c>
      <c r="K7" s="17">
        <v>6</v>
      </c>
      <c r="L7" s="18" t="s">
        <v>515</v>
      </c>
      <c r="M7" s="19">
        <v>5882.35</v>
      </c>
      <c r="N7" s="19">
        <f t="shared" si="2"/>
        <v>1117.6465000000001</v>
      </c>
      <c r="O7" s="19">
        <f t="shared" si="1"/>
        <v>41999.978999999999</v>
      </c>
      <c r="P7" s="17" t="s">
        <v>516</v>
      </c>
    </row>
    <row r="8" spans="1:18" x14ac:dyDescent="0.3">
      <c r="A8" s="9" t="s">
        <v>861</v>
      </c>
      <c r="B8" s="10" t="s">
        <v>150</v>
      </c>
      <c r="C8" s="11" t="s">
        <v>934</v>
      </c>
      <c r="D8" s="12">
        <v>43973</v>
      </c>
      <c r="E8" s="12">
        <v>43973</v>
      </c>
      <c r="F8" s="13">
        <v>28720000</v>
      </c>
      <c r="G8" s="14">
        <v>0</v>
      </c>
      <c r="H8" s="9" t="s">
        <v>935</v>
      </c>
      <c r="I8" s="15">
        <v>15354493</v>
      </c>
      <c r="J8" s="16" t="s">
        <v>937</v>
      </c>
      <c r="K8" s="17">
        <v>5</v>
      </c>
      <c r="L8" s="18" t="s">
        <v>515</v>
      </c>
      <c r="M8" s="19">
        <v>18487.399999999998</v>
      </c>
      <c r="N8" s="19">
        <f t="shared" si="2"/>
        <v>3512.6059999999998</v>
      </c>
      <c r="O8" s="19">
        <f t="shared" si="1"/>
        <v>110000.02999999998</v>
      </c>
      <c r="P8" s="17" t="s">
        <v>516</v>
      </c>
    </row>
    <row r="9" spans="1:18" x14ac:dyDescent="0.3">
      <c r="A9" s="9" t="s">
        <v>861</v>
      </c>
      <c r="B9" s="10" t="s">
        <v>150</v>
      </c>
      <c r="C9" s="11" t="s">
        <v>934</v>
      </c>
      <c r="D9" s="12">
        <v>43973</v>
      </c>
      <c r="E9" s="12">
        <v>43973</v>
      </c>
      <c r="F9" s="13">
        <v>28720000</v>
      </c>
      <c r="G9" s="14">
        <v>0</v>
      </c>
      <c r="H9" s="9" t="s">
        <v>935</v>
      </c>
      <c r="I9" s="15">
        <v>15354493</v>
      </c>
      <c r="J9" s="16" t="s">
        <v>938</v>
      </c>
      <c r="K9" s="17">
        <v>5</v>
      </c>
      <c r="L9" s="18" t="s">
        <v>515</v>
      </c>
      <c r="M9" s="19">
        <v>26890.76</v>
      </c>
      <c r="N9" s="19">
        <f t="shared" si="2"/>
        <v>5109.2443999999996</v>
      </c>
      <c r="O9" s="19">
        <f t="shared" si="1"/>
        <v>160000.022</v>
      </c>
      <c r="P9" s="17" t="s">
        <v>516</v>
      </c>
    </row>
    <row r="10" spans="1:18" x14ac:dyDescent="0.3">
      <c r="A10" s="9" t="s">
        <v>861</v>
      </c>
      <c r="B10" s="10" t="s">
        <v>990</v>
      </c>
      <c r="C10" s="11" t="s">
        <v>991</v>
      </c>
      <c r="D10" s="12">
        <v>44168</v>
      </c>
      <c r="E10" s="12">
        <v>44174</v>
      </c>
      <c r="F10" s="13">
        <v>3700750</v>
      </c>
      <c r="G10" s="14">
        <v>0</v>
      </c>
      <c r="H10" s="9" t="s">
        <v>401</v>
      </c>
      <c r="I10" s="15" t="s">
        <v>992</v>
      </c>
      <c r="J10" s="16" t="s">
        <v>993</v>
      </c>
      <c r="K10" s="17">
        <v>250</v>
      </c>
      <c r="L10" s="18" t="s">
        <v>515</v>
      </c>
      <c r="M10" s="19">
        <f>5850*2</f>
        <v>11700</v>
      </c>
      <c r="N10" s="19">
        <f t="shared" si="2"/>
        <v>2223</v>
      </c>
      <c r="O10" s="19">
        <f t="shared" si="1"/>
        <v>3480750</v>
      </c>
      <c r="P10" s="17" t="s">
        <v>516</v>
      </c>
      <c r="R10" s="31"/>
    </row>
    <row r="11" spans="1:18" x14ac:dyDescent="0.3">
      <c r="A11" s="9" t="s">
        <v>1692</v>
      </c>
      <c r="B11" s="10" t="s">
        <v>1735</v>
      </c>
      <c r="C11" s="11" t="s">
        <v>1736</v>
      </c>
      <c r="D11" s="12">
        <v>44001</v>
      </c>
      <c r="E11" s="12">
        <v>44001</v>
      </c>
      <c r="F11" s="13">
        <v>1063680</v>
      </c>
      <c r="G11" s="14">
        <v>0</v>
      </c>
      <c r="H11" s="9" t="s">
        <v>254</v>
      </c>
      <c r="I11" s="15">
        <v>830037946</v>
      </c>
      <c r="J11" s="16" t="s">
        <v>1738</v>
      </c>
      <c r="K11" s="17">
        <v>40</v>
      </c>
      <c r="L11" s="18" t="s">
        <v>515</v>
      </c>
      <c r="M11" s="19">
        <v>19992</v>
      </c>
      <c r="N11" s="19">
        <v>0</v>
      </c>
      <c r="O11" s="19">
        <f t="shared" si="1"/>
        <v>799680</v>
      </c>
      <c r="P11" s="17" t="s">
        <v>516</v>
      </c>
    </row>
  </sheetData>
  <dataValidations count="12">
    <dataValidation type="date" allowBlank="1" showInputMessage="1" errorTitle="Entrada no válida" error="Por favor escriba una fecha válida (AAAA/MM/DD)" promptTitle="Ingrese una fecha (AAAA/MM/DD)" prompt=" Registre la fecha en la cual se SUSCRIBIÓ el contrato  (Formato AAAA/MM/DD)." sqref="D2:D3 D5:D7">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E3 E5 E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F3 F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10">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I3 I5 I8:I9">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H3 H5 H9:H1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3 B5:B7 B10">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4:G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8:E1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8:F1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8:B9">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11">
      <formula1>0</formula1>
      <formula2>390</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sqref="A1:P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6" t="s">
        <v>10</v>
      </c>
      <c r="L1" s="7" t="s">
        <v>11</v>
      </c>
      <c r="M1" s="8" t="s">
        <v>12</v>
      </c>
      <c r="N1" s="8" t="s">
        <v>13</v>
      </c>
      <c r="O1" s="8" t="s">
        <v>14</v>
      </c>
      <c r="P1" s="8" t="s">
        <v>15</v>
      </c>
    </row>
    <row r="2" spans="1:16" x14ac:dyDescent="0.3">
      <c r="A2" s="33" t="s">
        <v>690</v>
      </c>
      <c r="B2" s="33" t="s">
        <v>781</v>
      </c>
      <c r="C2" s="33" t="s">
        <v>1798</v>
      </c>
      <c r="D2" s="34">
        <v>44057</v>
      </c>
      <c r="E2" s="34">
        <v>44057</v>
      </c>
      <c r="F2" s="35">
        <v>419998</v>
      </c>
      <c r="G2" s="35"/>
      <c r="H2" s="33" t="s">
        <v>782</v>
      </c>
      <c r="I2" s="36">
        <v>900207450</v>
      </c>
      <c r="J2" s="33" t="s">
        <v>1798</v>
      </c>
      <c r="K2" s="17">
        <v>10</v>
      </c>
      <c r="L2" s="37" t="s">
        <v>21</v>
      </c>
      <c r="M2" s="19">
        <v>35294</v>
      </c>
      <c r="N2" s="19">
        <v>6705.86</v>
      </c>
      <c r="O2" s="19">
        <v>419997.6</v>
      </c>
      <c r="P2" s="33" t="s">
        <v>783</v>
      </c>
    </row>
  </sheetData>
  <dataValidations count="7">
    <dataValidation type="date" allowBlank="1" showInputMessage="1" errorTitle="Entrada no válida" error="Por favor escriba una fecha válida (AAAA/MM/DD)" promptTitle="Ingrese una fecha (AAAA/MM/DD)" prompt=" Registre la fecha en la cual se SUSCRIBIÓ el contrato  (Formato AAAA/MM/DD)." sqref="D2">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formula1>0</formula1>
      <formula2>390</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116</v>
      </c>
      <c r="C2" s="11" t="s">
        <v>117</v>
      </c>
      <c r="D2" s="12">
        <v>44113</v>
      </c>
      <c r="E2" s="12">
        <v>44113</v>
      </c>
      <c r="F2" s="26">
        <v>86384200</v>
      </c>
      <c r="G2" s="27">
        <v>0</v>
      </c>
      <c r="H2" s="9" t="s">
        <v>106</v>
      </c>
      <c r="I2" s="15">
        <v>830053669</v>
      </c>
      <c r="J2" s="16" t="s">
        <v>118</v>
      </c>
      <c r="K2" s="17">
        <v>122</v>
      </c>
      <c r="L2" s="18" t="s">
        <v>21</v>
      </c>
      <c r="M2" s="19">
        <v>242000</v>
      </c>
      <c r="N2" s="19">
        <f t="shared" ref="N2" si="0">M2*0.19</f>
        <v>45980</v>
      </c>
      <c r="O2" s="19">
        <f t="shared" ref="O2:O18" si="1">K2*(M2+N2)</f>
        <v>35133560</v>
      </c>
      <c r="P2" s="16" t="s">
        <v>119</v>
      </c>
    </row>
    <row r="3" spans="1:16" x14ac:dyDescent="0.3">
      <c r="A3" s="9" t="s">
        <v>196</v>
      </c>
      <c r="B3" s="10" t="s">
        <v>2008</v>
      </c>
      <c r="C3" s="11" t="s">
        <v>1774</v>
      </c>
      <c r="D3" s="12">
        <v>44169</v>
      </c>
      <c r="E3" s="12">
        <v>44169</v>
      </c>
      <c r="F3" s="13">
        <v>414215200</v>
      </c>
      <c r="G3" s="14">
        <v>0</v>
      </c>
      <c r="H3" s="9" t="s">
        <v>279</v>
      </c>
      <c r="I3" s="15">
        <v>830105984</v>
      </c>
      <c r="J3" s="16" t="s">
        <v>1856</v>
      </c>
      <c r="K3" s="17">
        <v>1000</v>
      </c>
      <c r="L3" s="18" t="s">
        <v>21</v>
      </c>
      <c r="M3" s="19">
        <v>348080</v>
      </c>
      <c r="N3" s="19">
        <f>M3*0.19</f>
        <v>66135.199999999997</v>
      </c>
      <c r="O3" s="19">
        <f t="shared" si="1"/>
        <v>414215200</v>
      </c>
      <c r="P3" s="16" t="s">
        <v>119</v>
      </c>
    </row>
    <row r="4" spans="1:16" x14ac:dyDescent="0.3">
      <c r="A4" s="9" t="s">
        <v>284</v>
      </c>
      <c r="B4" s="10" t="s">
        <v>289</v>
      </c>
      <c r="C4" s="11" t="s">
        <v>290</v>
      </c>
      <c r="D4" s="12">
        <v>43917</v>
      </c>
      <c r="E4" s="12">
        <v>43917</v>
      </c>
      <c r="F4" s="13">
        <v>11284977</v>
      </c>
      <c r="G4" s="14">
        <v>0</v>
      </c>
      <c r="H4" s="9" t="s">
        <v>291</v>
      </c>
      <c r="I4" s="15">
        <v>1095815252</v>
      </c>
      <c r="J4" s="16" t="s">
        <v>292</v>
      </c>
      <c r="K4" s="17">
        <v>37</v>
      </c>
      <c r="L4" s="18" t="s">
        <v>21</v>
      </c>
      <c r="M4" s="19">
        <v>138655</v>
      </c>
      <c r="N4" s="19">
        <f t="shared" ref="N4" si="2">M4*0.19</f>
        <v>26344.45</v>
      </c>
      <c r="O4" s="19">
        <f t="shared" si="1"/>
        <v>6104979.6500000004</v>
      </c>
      <c r="P4" s="16" t="s">
        <v>119</v>
      </c>
    </row>
    <row r="5" spans="1:16" x14ac:dyDescent="0.3">
      <c r="A5" s="9" t="s">
        <v>284</v>
      </c>
      <c r="B5" s="10" t="s">
        <v>374</v>
      </c>
      <c r="C5" s="11" t="s">
        <v>375</v>
      </c>
      <c r="D5" s="12">
        <v>44020</v>
      </c>
      <c r="E5" s="12">
        <v>44020</v>
      </c>
      <c r="F5" s="13">
        <v>51086700</v>
      </c>
      <c r="G5" s="14">
        <v>0</v>
      </c>
      <c r="H5" s="9" t="s">
        <v>376</v>
      </c>
      <c r="I5" s="15">
        <v>900584757</v>
      </c>
      <c r="J5" s="16" t="s">
        <v>377</v>
      </c>
      <c r="K5" s="17">
        <v>135</v>
      </c>
      <c r="L5" s="18" t="s">
        <v>21</v>
      </c>
      <c r="M5" s="19">
        <v>318000</v>
      </c>
      <c r="N5" s="19">
        <f>M5*0.19</f>
        <v>60420</v>
      </c>
      <c r="O5" s="19">
        <f t="shared" si="1"/>
        <v>51086700</v>
      </c>
      <c r="P5" s="16" t="s">
        <v>119</v>
      </c>
    </row>
    <row r="6" spans="1:16" x14ac:dyDescent="0.3">
      <c r="A6" s="9" t="s">
        <v>284</v>
      </c>
      <c r="B6" s="10" t="s">
        <v>392</v>
      </c>
      <c r="C6" s="11" t="s">
        <v>1782</v>
      </c>
      <c r="D6" s="12">
        <v>44175</v>
      </c>
      <c r="E6" s="12">
        <v>44175</v>
      </c>
      <c r="F6" s="13">
        <v>95397557</v>
      </c>
      <c r="G6" s="14">
        <v>0</v>
      </c>
      <c r="H6" s="9" t="s">
        <v>393</v>
      </c>
      <c r="I6" s="15">
        <v>900584757</v>
      </c>
      <c r="J6" s="16" t="s">
        <v>394</v>
      </c>
      <c r="K6" s="17">
        <v>284</v>
      </c>
      <c r="L6" s="18" t="s">
        <v>21</v>
      </c>
      <c r="M6" s="19">
        <v>219540</v>
      </c>
      <c r="N6" s="19">
        <f t="shared" ref="N6:N11" si="3">M6*0.19</f>
        <v>41712.6</v>
      </c>
      <c r="O6" s="19">
        <f t="shared" si="1"/>
        <v>74195738.400000006</v>
      </c>
      <c r="P6" s="16" t="s">
        <v>119</v>
      </c>
    </row>
    <row r="7" spans="1:16" x14ac:dyDescent="0.3">
      <c r="A7" s="9" t="s">
        <v>402</v>
      </c>
      <c r="B7" s="10" t="s">
        <v>438</v>
      </c>
      <c r="C7" s="11" t="s">
        <v>439</v>
      </c>
      <c r="D7" s="12">
        <v>43977</v>
      </c>
      <c r="E7" s="12">
        <v>43977</v>
      </c>
      <c r="F7" s="13">
        <v>124500180</v>
      </c>
      <c r="G7" s="14">
        <v>60547200</v>
      </c>
      <c r="H7" s="9" t="s">
        <v>440</v>
      </c>
      <c r="I7" s="15">
        <v>900584757</v>
      </c>
      <c r="J7" s="16" t="s">
        <v>441</v>
      </c>
      <c r="K7" s="17">
        <v>489</v>
      </c>
      <c r="L7" s="18" t="s">
        <v>21</v>
      </c>
      <c r="M7" s="19">
        <v>318000</v>
      </c>
      <c r="N7" s="19">
        <f t="shared" si="3"/>
        <v>60420</v>
      </c>
      <c r="O7" s="19">
        <f t="shared" si="1"/>
        <v>185047380</v>
      </c>
      <c r="P7" s="16" t="s">
        <v>119</v>
      </c>
    </row>
    <row r="8" spans="1:16" x14ac:dyDescent="0.3">
      <c r="A8" s="9" t="s">
        <v>558</v>
      </c>
      <c r="B8" s="10" t="s">
        <v>614</v>
      </c>
      <c r="C8" s="28" t="s">
        <v>1791</v>
      </c>
      <c r="D8" s="12">
        <v>44020</v>
      </c>
      <c r="E8" s="12">
        <v>44022</v>
      </c>
      <c r="F8" s="13">
        <v>18314100</v>
      </c>
      <c r="G8" s="14">
        <v>3301060</v>
      </c>
      <c r="H8" s="9" t="s">
        <v>615</v>
      </c>
      <c r="I8" s="15">
        <v>9003340370</v>
      </c>
      <c r="J8" s="16" t="s">
        <v>394</v>
      </c>
      <c r="K8" s="17">
        <v>90</v>
      </c>
      <c r="L8" s="18" t="s">
        <v>21</v>
      </c>
      <c r="M8" s="19">
        <v>133000</v>
      </c>
      <c r="N8" s="19">
        <f t="shared" si="3"/>
        <v>25270</v>
      </c>
      <c r="O8" s="19">
        <f t="shared" si="1"/>
        <v>14244300</v>
      </c>
      <c r="P8" s="16" t="s">
        <v>119</v>
      </c>
    </row>
    <row r="9" spans="1:16" x14ac:dyDescent="0.3">
      <c r="A9" s="9" t="s">
        <v>558</v>
      </c>
      <c r="B9" s="10" t="s">
        <v>2020</v>
      </c>
      <c r="C9" s="28" t="s">
        <v>635</v>
      </c>
      <c r="D9" s="12">
        <v>44123</v>
      </c>
      <c r="E9" s="12">
        <v>44123</v>
      </c>
      <c r="F9" s="13">
        <v>110694600</v>
      </c>
      <c r="G9" s="14">
        <v>0</v>
      </c>
      <c r="H9" s="9" t="s">
        <v>106</v>
      </c>
      <c r="I9" s="15">
        <v>900564459</v>
      </c>
      <c r="J9" t="s">
        <v>637</v>
      </c>
      <c r="K9" s="17">
        <v>150</v>
      </c>
      <c r="L9" s="18" t="s">
        <v>21</v>
      </c>
      <c r="M9" s="19">
        <v>242000</v>
      </c>
      <c r="N9" s="19">
        <f t="shared" si="3"/>
        <v>45980</v>
      </c>
      <c r="O9" s="19">
        <f t="shared" si="1"/>
        <v>43197000</v>
      </c>
      <c r="P9" s="16" t="s">
        <v>119</v>
      </c>
    </row>
    <row r="10" spans="1:16" x14ac:dyDescent="0.3">
      <c r="A10" s="33" t="s">
        <v>690</v>
      </c>
      <c r="B10" s="33" t="s">
        <v>786</v>
      </c>
      <c r="C10" s="33" t="s">
        <v>1800</v>
      </c>
      <c r="D10" s="34">
        <v>44069</v>
      </c>
      <c r="E10" s="34">
        <v>44070</v>
      </c>
      <c r="F10" s="35">
        <v>145876000</v>
      </c>
      <c r="G10" s="14">
        <v>0</v>
      </c>
      <c r="H10" s="33" t="s">
        <v>106</v>
      </c>
      <c r="I10" s="36">
        <v>900564459</v>
      </c>
      <c r="J10" s="33" t="s">
        <v>1862</v>
      </c>
      <c r="K10" s="17">
        <v>200</v>
      </c>
      <c r="L10" s="37" t="s">
        <v>21</v>
      </c>
      <c r="M10" s="19">
        <v>310000</v>
      </c>
      <c r="N10" s="19">
        <f t="shared" si="3"/>
        <v>58900</v>
      </c>
      <c r="O10" s="19">
        <f t="shared" si="1"/>
        <v>73780000</v>
      </c>
      <c r="P10" s="16" t="s">
        <v>119</v>
      </c>
    </row>
    <row r="11" spans="1:16" x14ac:dyDescent="0.3">
      <c r="A11" s="9" t="s">
        <v>861</v>
      </c>
      <c r="B11" s="10" t="s">
        <v>939</v>
      </c>
      <c r="C11" s="11" t="s">
        <v>940</v>
      </c>
      <c r="D11" s="12">
        <v>43980</v>
      </c>
      <c r="E11" s="12">
        <v>43980</v>
      </c>
      <c r="F11" s="13">
        <v>64800000</v>
      </c>
      <c r="G11" s="14">
        <v>0</v>
      </c>
      <c r="H11" s="9" t="s">
        <v>941</v>
      </c>
      <c r="I11" s="15">
        <v>901315614</v>
      </c>
      <c r="J11" s="16" t="s">
        <v>943</v>
      </c>
      <c r="K11" s="17">
        <v>160</v>
      </c>
      <c r="L11" s="18" t="s">
        <v>21</v>
      </c>
      <c r="M11" s="19">
        <v>163865.54999999999</v>
      </c>
      <c r="N11" s="19">
        <f t="shared" si="3"/>
        <v>31134.4545</v>
      </c>
      <c r="O11" s="19">
        <f t="shared" si="1"/>
        <v>31200000.719999999</v>
      </c>
      <c r="P11" s="16" t="s">
        <v>119</v>
      </c>
    </row>
    <row r="12" spans="1:16" x14ac:dyDescent="0.3">
      <c r="A12" s="9" t="s">
        <v>1291</v>
      </c>
      <c r="B12" s="10" t="s">
        <v>1302</v>
      </c>
      <c r="C12" s="11" t="s">
        <v>1303</v>
      </c>
      <c r="D12" s="12">
        <v>43915</v>
      </c>
      <c r="E12" s="12">
        <v>43921</v>
      </c>
      <c r="F12" s="13">
        <v>55131040</v>
      </c>
      <c r="G12" s="14">
        <v>0</v>
      </c>
      <c r="H12" s="9" t="s">
        <v>1304</v>
      </c>
      <c r="I12" s="15">
        <v>900885138</v>
      </c>
      <c r="J12" s="16" t="s">
        <v>1305</v>
      </c>
      <c r="K12" s="17">
        <v>235</v>
      </c>
      <c r="L12" s="18" t="s">
        <v>21</v>
      </c>
      <c r="M12" s="19">
        <v>171600</v>
      </c>
      <c r="N12" s="19">
        <v>0</v>
      </c>
      <c r="O12" s="19">
        <f t="shared" si="1"/>
        <v>40326000</v>
      </c>
      <c r="P12" s="16" t="s">
        <v>119</v>
      </c>
    </row>
    <row r="13" spans="1:16" x14ac:dyDescent="0.3">
      <c r="A13" s="9" t="s">
        <v>1291</v>
      </c>
      <c r="B13" s="10">
        <v>62165</v>
      </c>
      <c r="C13" s="11" t="s">
        <v>2220</v>
      </c>
      <c r="D13" s="12">
        <v>44182</v>
      </c>
      <c r="E13" s="12">
        <v>44182</v>
      </c>
      <c r="F13" s="13">
        <v>18432000</v>
      </c>
      <c r="G13" s="14">
        <v>0</v>
      </c>
      <c r="H13" s="9" t="s">
        <v>106</v>
      </c>
      <c r="I13" s="15">
        <v>900564459</v>
      </c>
      <c r="J13" s="16" t="s">
        <v>2221</v>
      </c>
      <c r="K13" s="17">
        <v>72</v>
      </c>
      <c r="L13" s="18" t="s">
        <v>21</v>
      </c>
      <c r="M13" s="19">
        <v>256000</v>
      </c>
      <c r="N13" s="19">
        <f t="shared" ref="N13" si="4">+M13*19%</f>
        <v>48640</v>
      </c>
      <c r="O13" s="19">
        <f t="shared" si="1"/>
        <v>21934080</v>
      </c>
      <c r="P13" s="17" t="s">
        <v>119</v>
      </c>
    </row>
    <row r="14" spans="1:16" x14ac:dyDescent="0.3">
      <c r="A14" s="9" t="s">
        <v>1306</v>
      </c>
      <c r="B14" s="10" t="s">
        <v>1311</v>
      </c>
      <c r="C14" s="11" t="s">
        <v>1312</v>
      </c>
      <c r="D14" s="12">
        <v>43994</v>
      </c>
      <c r="E14" s="12">
        <v>43994</v>
      </c>
      <c r="F14" s="13">
        <v>45932000</v>
      </c>
      <c r="G14" s="14">
        <v>0</v>
      </c>
      <c r="H14" s="9" t="s">
        <v>1313</v>
      </c>
      <c r="I14" s="15">
        <v>1083893865</v>
      </c>
      <c r="J14" s="16" t="s">
        <v>1315</v>
      </c>
      <c r="K14" s="17">
        <v>118</v>
      </c>
      <c r="L14" s="18" t="s">
        <v>21</v>
      </c>
      <c r="M14" s="19">
        <v>201680.67226890757</v>
      </c>
      <c r="N14" s="19">
        <f t="shared" ref="N14:N18" si="5">M14*0.19</f>
        <v>38319.327731092439</v>
      </c>
      <c r="O14" s="19">
        <f t="shared" si="1"/>
        <v>28320000</v>
      </c>
      <c r="P14" s="16" t="s">
        <v>119</v>
      </c>
    </row>
    <row r="15" spans="1:16" x14ac:dyDescent="0.3">
      <c r="A15" s="9" t="s">
        <v>1306</v>
      </c>
      <c r="B15" s="10" t="s">
        <v>1399</v>
      </c>
      <c r="C15" s="11" t="s">
        <v>1400</v>
      </c>
      <c r="D15" s="12">
        <v>44104</v>
      </c>
      <c r="E15" s="12">
        <v>44104</v>
      </c>
      <c r="F15" s="13">
        <v>15470000</v>
      </c>
      <c r="G15" s="14">
        <v>0</v>
      </c>
      <c r="H15" s="9" t="s">
        <v>1401</v>
      </c>
      <c r="I15" s="15" t="s">
        <v>1402</v>
      </c>
      <c r="J15" s="16" t="s">
        <v>1941</v>
      </c>
      <c r="K15" s="17">
        <v>52</v>
      </c>
      <c r="L15" s="18" t="s">
        <v>21</v>
      </c>
      <c r="M15" s="19">
        <v>250000</v>
      </c>
      <c r="N15" s="19">
        <f t="shared" si="5"/>
        <v>47500</v>
      </c>
      <c r="O15" s="19">
        <f t="shared" si="1"/>
        <v>15470000</v>
      </c>
      <c r="P15" s="16" t="s">
        <v>119</v>
      </c>
    </row>
    <row r="16" spans="1:16" x14ac:dyDescent="0.3">
      <c r="A16" s="9" t="s">
        <v>1472</v>
      </c>
      <c r="B16" s="10" t="s">
        <v>1523</v>
      </c>
      <c r="C16" s="11" t="s">
        <v>1524</v>
      </c>
      <c r="D16" s="12">
        <v>44022</v>
      </c>
      <c r="E16" s="12">
        <v>44025</v>
      </c>
      <c r="F16" s="13">
        <v>140991200</v>
      </c>
      <c r="G16" s="14">
        <v>0</v>
      </c>
      <c r="H16" s="9" t="s">
        <v>1525</v>
      </c>
      <c r="I16" s="15">
        <v>900564459</v>
      </c>
      <c r="J16" s="16" t="s">
        <v>1935</v>
      </c>
      <c r="K16" s="17">
        <v>300</v>
      </c>
      <c r="L16" s="18" t="s">
        <v>21</v>
      </c>
      <c r="M16" s="19">
        <v>330000</v>
      </c>
      <c r="N16" s="19">
        <f t="shared" si="5"/>
        <v>62700</v>
      </c>
      <c r="O16" s="19">
        <f t="shared" si="1"/>
        <v>117810000</v>
      </c>
      <c r="P16" s="16" t="s">
        <v>119</v>
      </c>
    </row>
    <row r="17" spans="1:16" x14ac:dyDescent="0.3">
      <c r="A17" s="9" t="s">
        <v>1629</v>
      </c>
      <c r="B17" s="10" t="s">
        <v>2129</v>
      </c>
      <c r="C17" s="11" t="s">
        <v>1841</v>
      </c>
      <c r="D17" s="12">
        <v>44161</v>
      </c>
      <c r="E17" s="12">
        <v>44195</v>
      </c>
      <c r="F17" s="13">
        <v>32463200</v>
      </c>
      <c r="G17" s="14">
        <v>0</v>
      </c>
      <c r="H17" s="9" t="s">
        <v>376</v>
      </c>
      <c r="I17" s="15">
        <v>900584757</v>
      </c>
      <c r="J17" s="16" t="s">
        <v>1940</v>
      </c>
      <c r="K17" s="17">
        <v>110</v>
      </c>
      <c r="L17" s="18" t="s">
        <v>21</v>
      </c>
      <c r="M17" s="19">
        <v>248000</v>
      </c>
      <c r="N17" s="19">
        <f t="shared" si="5"/>
        <v>47120</v>
      </c>
      <c r="O17" s="19">
        <f t="shared" si="1"/>
        <v>32463200</v>
      </c>
      <c r="P17" s="16" t="s">
        <v>119</v>
      </c>
    </row>
    <row r="18" spans="1:16" x14ac:dyDescent="0.3">
      <c r="A18" s="9" t="s">
        <v>1629</v>
      </c>
      <c r="B18" s="10" t="s">
        <v>2130</v>
      </c>
      <c r="C18" s="11" t="s">
        <v>1842</v>
      </c>
      <c r="D18" s="12">
        <v>44161</v>
      </c>
      <c r="E18" s="12">
        <v>44195</v>
      </c>
      <c r="F18" s="13">
        <v>21826583.050000001</v>
      </c>
      <c r="G18" s="14">
        <v>0</v>
      </c>
      <c r="H18" s="9" t="s">
        <v>376</v>
      </c>
      <c r="I18" s="15">
        <v>900584757</v>
      </c>
      <c r="J18" s="16" t="s">
        <v>1940</v>
      </c>
      <c r="K18" s="17">
        <v>71</v>
      </c>
      <c r="L18" s="18" t="s">
        <v>21</v>
      </c>
      <c r="M18" s="19">
        <v>258333.33</v>
      </c>
      <c r="N18" s="19">
        <f t="shared" si="5"/>
        <v>49083.332699999999</v>
      </c>
      <c r="O18" s="19">
        <f t="shared" si="1"/>
        <v>21826583.0517</v>
      </c>
      <c r="P18" s="16" t="s">
        <v>119</v>
      </c>
    </row>
  </sheetData>
  <dataValidations count="13">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10 E14 A2 E4:E8 E16 G17:G1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4:A13 A1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10:B11 B4:B8 B16">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7:G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11:E11 D9:E9 D17:D18">
      <formula1>1900/1/1</formula1>
      <formula2>3000/1/1</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6:I7 I4 I9:I1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5:H7 H9:H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11:F12 F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17:B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E17:E1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10 D4:D7 D1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10 F4:F7 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5">
      <formula1>-99999999999</formula1>
      <formula2>99999999999</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sqref="A1:P2"/>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1291</v>
      </c>
      <c r="B2" s="10">
        <v>61827</v>
      </c>
      <c r="C2" s="11" t="s">
        <v>2191</v>
      </c>
      <c r="D2" s="12">
        <v>44180</v>
      </c>
      <c r="E2" s="12">
        <v>44180</v>
      </c>
      <c r="F2" s="13">
        <v>6080000</v>
      </c>
      <c r="G2" s="14">
        <v>0</v>
      </c>
      <c r="H2" s="9" t="s">
        <v>2192</v>
      </c>
      <c r="I2" s="15">
        <v>900225460</v>
      </c>
      <c r="J2" s="16" t="s">
        <v>2193</v>
      </c>
      <c r="K2" s="17">
        <v>19</v>
      </c>
      <c r="L2" s="18" t="s">
        <v>21</v>
      </c>
      <c r="M2" s="19">
        <v>320000</v>
      </c>
      <c r="N2" s="19">
        <v>0</v>
      </c>
      <c r="O2" s="19">
        <f t="shared" ref="O2" si="0">K2*(M2+N2)</f>
        <v>6080000</v>
      </c>
      <c r="P2" s="17" t="s">
        <v>2194</v>
      </c>
    </row>
  </sheetData>
  <dataValidations count="1">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3:C62"/>
  <sheetViews>
    <sheetView topLeftCell="A3" workbookViewId="0">
      <pane ySplit="1" topLeftCell="A4" activePane="bottomLeft" state="frozen"/>
      <selection activeCell="A3" sqref="A3"/>
      <selection pane="bottomLeft" activeCell="A4" sqref="A4"/>
    </sheetView>
  </sheetViews>
  <sheetFormatPr baseColWidth="10" defaultRowHeight="14.4" x14ac:dyDescent="0.3"/>
  <cols>
    <col min="1" max="3" width="34.109375" customWidth="1"/>
  </cols>
  <sheetData>
    <row r="3" spans="1:3" x14ac:dyDescent="0.3">
      <c r="A3" s="61" t="s">
        <v>15</v>
      </c>
      <c r="B3" s="42" t="s">
        <v>2316</v>
      </c>
      <c r="C3" s="42" t="s">
        <v>2315</v>
      </c>
    </row>
    <row r="4" spans="1:3" x14ac:dyDescent="0.3">
      <c r="A4" s="38" t="s">
        <v>155</v>
      </c>
      <c r="B4" s="43">
        <v>40474348.670000002</v>
      </c>
      <c r="C4" s="43">
        <v>9662710.75</v>
      </c>
    </row>
    <row r="5" spans="1:3" x14ac:dyDescent="0.3">
      <c r="A5" s="38" t="s">
        <v>161</v>
      </c>
      <c r="B5" s="43">
        <v>346422513.27660954</v>
      </c>
      <c r="C5" s="43">
        <v>7308.6090548997099</v>
      </c>
    </row>
    <row r="6" spans="1:3" x14ac:dyDescent="0.3">
      <c r="A6" s="38" t="s">
        <v>229</v>
      </c>
      <c r="B6" s="43">
        <v>349791045.18106002</v>
      </c>
      <c r="C6" s="43">
        <v>175882.33319999999</v>
      </c>
    </row>
    <row r="7" spans="1:3" x14ac:dyDescent="0.3">
      <c r="A7" s="38" t="s">
        <v>93</v>
      </c>
      <c r="B7" s="43">
        <v>165042051.64300001</v>
      </c>
      <c r="C7" s="43">
        <v>232949.05624999999</v>
      </c>
    </row>
    <row r="8" spans="1:3" x14ac:dyDescent="0.3">
      <c r="A8" s="38" t="s">
        <v>647</v>
      </c>
      <c r="B8" s="43">
        <v>17721800</v>
      </c>
      <c r="C8" s="43">
        <v>4841.6935483870966</v>
      </c>
    </row>
    <row r="9" spans="1:3" x14ac:dyDescent="0.3">
      <c r="A9" s="38" t="s">
        <v>201</v>
      </c>
      <c r="B9" s="43">
        <v>185511753</v>
      </c>
      <c r="C9" s="43">
        <v>1781987</v>
      </c>
    </row>
    <row r="10" spans="1:3" x14ac:dyDescent="0.3">
      <c r="A10" s="38" t="s">
        <v>623</v>
      </c>
      <c r="B10" s="43">
        <v>5100000</v>
      </c>
      <c r="C10" s="43">
        <v>20000</v>
      </c>
    </row>
    <row r="11" spans="1:3" x14ac:dyDescent="0.3">
      <c r="A11" s="38" t="s">
        <v>869</v>
      </c>
      <c r="B11" s="43">
        <v>9266091.2930999994</v>
      </c>
      <c r="C11" s="43">
        <v>2932.5156816059757</v>
      </c>
    </row>
    <row r="12" spans="1:3" x14ac:dyDescent="0.3">
      <c r="A12" s="38" t="s">
        <v>102</v>
      </c>
      <c r="B12" s="43">
        <v>230742077.73533332</v>
      </c>
      <c r="C12" s="43">
        <v>1536375.0366666669</v>
      </c>
    </row>
    <row r="13" spans="1:3" x14ac:dyDescent="0.3">
      <c r="A13" s="38" t="s">
        <v>1948</v>
      </c>
      <c r="B13" s="43">
        <v>70507354.299999997</v>
      </c>
      <c r="C13" s="43">
        <v>43698</v>
      </c>
    </row>
    <row r="14" spans="1:3" x14ac:dyDescent="0.3">
      <c r="A14" s="38" t="s">
        <v>187</v>
      </c>
      <c r="B14" s="43">
        <v>16287140</v>
      </c>
      <c r="C14" s="43">
        <v>1857.9607843137255</v>
      </c>
    </row>
    <row r="15" spans="1:3" x14ac:dyDescent="0.3">
      <c r="A15" s="38" t="s">
        <v>143</v>
      </c>
      <c r="B15" s="43">
        <v>2428145.5999999996</v>
      </c>
      <c r="C15" s="43">
        <v>1919.1166666666668</v>
      </c>
    </row>
    <row r="16" spans="1:3" x14ac:dyDescent="0.3">
      <c r="A16" s="38" t="s">
        <v>516</v>
      </c>
      <c r="B16" s="43">
        <v>11853435.979</v>
      </c>
      <c r="C16" s="43">
        <v>14047.434999999998</v>
      </c>
    </row>
    <row r="17" spans="1:3" x14ac:dyDescent="0.3">
      <c r="A17" s="38" t="s">
        <v>783</v>
      </c>
      <c r="B17" s="43">
        <v>419998.6</v>
      </c>
      <c r="C17" s="43">
        <v>35294</v>
      </c>
    </row>
    <row r="18" spans="1:3" x14ac:dyDescent="0.3">
      <c r="A18" s="38" t="s">
        <v>119</v>
      </c>
      <c r="B18" s="43">
        <v>1206354721.8217001</v>
      </c>
      <c r="C18" s="43">
        <v>244044.38542758278</v>
      </c>
    </row>
    <row r="19" spans="1:3" x14ac:dyDescent="0.3">
      <c r="A19" s="38" t="s">
        <v>2194</v>
      </c>
      <c r="B19" s="43">
        <v>6080000</v>
      </c>
      <c r="C19" s="43">
        <v>320000</v>
      </c>
    </row>
    <row r="20" spans="1:3" x14ac:dyDescent="0.3">
      <c r="A20" s="38" t="s">
        <v>98</v>
      </c>
      <c r="B20" s="43">
        <v>86562007.900000006</v>
      </c>
      <c r="C20" s="43">
        <v>47293.666281512604</v>
      </c>
    </row>
    <row r="21" spans="1:3" x14ac:dyDescent="0.3">
      <c r="A21" s="38" t="s">
        <v>75</v>
      </c>
      <c r="B21" s="43">
        <v>280932177.18919998</v>
      </c>
      <c r="C21" s="43">
        <v>6926.5286458333339</v>
      </c>
    </row>
    <row r="22" spans="1:3" x14ac:dyDescent="0.3">
      <c r="A22" s="38" t="s">
        <v>613</v>
      </c>
      <c r="B22" s="43">
        <v>17229514</v>
      </c>
      <c r="C22" s="43">
        <v>17229514</v>
      </c>
    </row>
    <row r="23" spans="1:3" x14ac:dyDescent="0.3">
      <c r="A23" s="38" t="s">
        <v>215</v>
      </c>
      <c r="B23" s="43">
        <v>580589625.5</v>
      </c>
      <c r="C23" s="43">
        <v>2200147.5</v>
      </c>
    </row>
    <row r="24" spans="1:3" x14ac:dyDescent="0.3">
      <c r="A24" s="38" t="s">
        <v>1495</v>
      </c>
      <c r="B24" s="43">
        <v>6500000</v>
      </c>
      <c r="C24" s="43">
        <v>3250000</v>
      </c>
    </row>
    <row r="25" spans="1:3" x14ac:dyDescent="0.3">
      <c r="A25" s="38" t="s">
        <v>2301</v>
      </c>
      <c r="B25" s="43">
        <v>48306000</v>
      </c>
      <c r="C25" s="43">
        <v>6038250</v>
      </c>
    </row>
    <row r="26" spans="1:3" x14ac:dyDescent="0.3">
      <c r="A26" s="38" t="s">
        <v>875</v>
      </c>
      <c r="B26" s="43">
        <v>78101321.804799989</v>
      </c>
      <c r="C26" s="43">
        <v>17302.112850000001</v>
      </c>
    </row>
    <row r="27" spans="1:3" x14ac:dyDescent="0.3">
      <c r="A27" s="38" t="s">
        <v>120</v>
      </c>
      <c r="B27" s="43">
        <v>411366649.00600004</v>
      </c>
      <c r="C27" s="43">
        <v>159814.24981900456</v>
      </c>
    </row>
    <row r="28" spans="1:3" x14ac:dyDescent="0.3">
      <c r="A28" s="38" t="s">
        <v>82</v>
      </c>
      <c r="B28" s="43">
        <v>732094358.19932163</v>
      </c>
      <c r="C28" s="43">
        <v>99229.096739298227</v>
      </c>
    </row>
    <row r="29" spans="1:3" x14ac:dyDescent="0.3">
      <c r="A29" s="38" t="s">
        <v>87</v>
      </c>
      <c r="B29" s="43">
        <v>453376692.00099999</v>
      </c>
      <c r="C29" s="43">
        <v>281005.79410070478</v>
      </c>
    </row>
    <row r="30" spans="1:3" x14ac:dyDescent="0.3">
      <c r="A30" s="38" t="s">
        <v>1751</v>
      </c>
      <c r="B30" s="43">
        <v>1934410451.22</v>
      </c>
      <c r="C30" s="43">
        <v>1511134.9327731093</v>
      </c>
    </row>
    <row r="31" spans="1:3" x14ac:dyDescent="0.3">
      <c r="A31" s="38" t="s">
        <v>412</v>
      </c>
      <c r="B31" s="43">
        <v>48579902.5</v>
      </c>
      <c r="C31" s="43">
        <v>11512.095238095239</v>
      </c>
    </row>
    <row r="32" spans="1:3" x14ac:dyDescent="0.3">
      <c r="A32" s="38" t="s">
        <v>631</v>
      </c>
      <c r="B32" s="43">
        <v>400000</v>
      </c>
      <c r="C32" s="43">
        <v>8000</v>
      </c>
    </row>
    <row r="33" spans="1:3" x14ac:dyDescent="0.3">
      <c r="A33" s="38" t="s">
        <v>37</v>
      </c>
      <c r="B33" s="43">
        <v>1406239106.4454153</v>
      </c>
      <c r="C33" s="43">
        <v>14245.768957473674</v>
      </c>
    </row>
    <row r="34" spans="1:3" x14ac:dyDescent="0.3">
      <c r="A34" s="38" t="s">
        <v>145</v>
      </c>
      <c r="B34" s="43">
        <v>80794113.700000003</v>
      </c>
      <c r="C34" s="43">
        <v>19685.079444444447</v>
      </c>
    </row>
    <row r="35" spans="1:3" x14ac:dyDescent="0.3">
      <c r="A35" s="38" t="s">
        <v>69</v>
      </c>
      <c r="B35" s="43">
        <v>1497184771.19592</v>
      </c>
      <c r="C35" s="43">
        <v>45794.973653009169</v>
      </c>
    </row>
    <row r="36" spans="1:3" x14ac:dyDescent="0.3">
      <c r="A36" s="38" t="s">
        <v>25</v>
      </c>
      <c r="B36" s="43">
        <v>1431570</v>
      </c>
      <c r="C36" s="43">
        <v>8875</v>
      </c>
    </row>
    <row r="37" spans="1:3" x14ac:dyDescent="0.3">
      <c r="A37" s="38" t="s">
        <v>396</v>
      </c>
      <c r="B37" s="43">
        <v>3102330</v>
      </c>
      <c r="C37" s="43">
        <v>265666.66666666669</v>
      </c>
    </row>
    <row r="38" spans="1:3" x14ac:dyDescent="0.3">
      <c r="A38" s="38" t="s">
        <v>1142</v>
      </c>
      <c r="B38" s="43">
        <v>16280000</v>
      </c>
      <c r="C38" s="43">
        <v>1628000</v>
      </c>
    </row>
    <row r="39" spans="1:3" x14ac:dyDescent="0.3">
      <c r="A39" s="38" t="s">
        <v>39</v>
      </c>
      <c r="B39" s="43">
        <v>251339602.1003986</v>
      </c>
      <c r="C39" s="43">
        <v>7736.7679821360007</v>
      </c>
    </row>
    <row r="40" spans="1:3" x14ac:dyDescent="0.3">
      <c r="A40" s="38" t="s">
        <v>2198</v>
      </c>
      <c r="B40" s="43">
        <v>53000000</v>
      </c>
      <c r="C40" s="43">
        <v>17500</v>
      </c>
    </row>
    <row r="41" spans="1:3" x14ac:dyDescent="0.3">
      <c r="A41" s="38" t="s">
        <v>65</v>
      </c>
      <c r="B41" s="43">
        <v>469334661.03549999</v>
      </c>
      <c r="C41" s="43">
        <v>1185775.4239617584</v>
      </c>
    </row>
    <row r="42" spans="1:3" x14ac:dyDescent="0.3">
      <c r="A42" s="38" t="s">
        <v>1527</v>
      </c>
      <c r="B42" s="43">
        <v>7616000</v>
      </c>
      <c r="C42" s="43">
        <v>800000</v>
      </c>
    </row>
    <row r="43" spans="1:3" x14ac:dyDescent="0.3">
      <c r="A43" s="38" t="s">
        <v>217</v>
      </c>
      <c r="B43" s="43">
        <v>92486800</v>
      </c>
      <c r="C43" s="43">
        <v>1340000</v>
      </c>
    </row>
    <row r="44" spans="1:3" x14ac:dyDescent="0.3">
      <c r="A44" s="38" t="s">
        <v>557</v>
      </c>
      <c r="B44" s="43">
        <v>950000</v>
      </c>
      <c r="C44" s="43">
        <v>798319.32773109246</v>
      </c>
    </row>
    <row r="45" spans="1:3" x14ac:dyDescent="0.3">
      <c r="A45" s="38" t="s">
        <v>880</v>
      </c>
      <c r="B45" s="43">
        <v>3256706.3200000003</v>
      </c>
      <c r="C45" s="43">
        <v>963.61</v>
      </c>
    </row>
    <row r="46" spans="1:3" x14ac:dyDescent="0.3">
      <c r="A46" s="38" t="s">
        <v>209</v>
      </c>
      <c r="B46" s="43">
        <v>4499147</v>
      </c>
      <c r="C46" s="43">
        <v>1292.2083333333335</v>
      </c>
    </row>
    <row r="47" spans="1:3" x14ac:dyDescent="0.3">
      <c r="A47" s="38" t="s">
        <v>1526</v>
      </c>
      <c r="B47" s="43">
        <v>15565200</v>
      </c>
      <c r="C47" s="43">
        <v>43600</v>
      </c>
    </row>
    <row r="48" spans="1:3" x14ac:dyDescent="0.3">
      <c r="A48" s="38" t="s">
        <v>334</v>
      </c>
      <c r="B48" s="43">
        <v>12269361.800000001</v>
      </c>
      <c r="C48" s="43">
        <v>28460.1</v>
      </c>
    </row>
    <row r="49" spans="1:3" x14ac:dyDescent="0.3">
      <c r="A49" s="38" t="s">
        <v>222</v>
      </c>
      <c r="B49" s="43">
        <v>28000000</v>
      </c>
      <c r="C49" s="43">
        <v>3500000</v>
      </c>
    </row>
    <row r="50" spans="1:3" x14ac:dyDescent="0.3">
      <c r="A50" s="38" t="s">
        <v>2189</v>
      </c>
      <c r="B50" s="43">
        <v>3100000</v>
      </c>
      <c r="C50" s="43">
        <v>155000</v>
      </c>
    </row>
    <row r="51" spans="1:3" x14ac:dyDescent="0.3">
      <c r="A51" s="38" t="s">
        <v>257</v>
      </c>
      <c r="B51" s="43">
        <v>74042677.600000024</v>
      </c>
      <c r="C51" s="43">
        <v>20379.892006666858</v>
      </c>
    </row>
    <row r="52" spans="1:3" x14ac:dyDescent="0.3">
      <c r="A52" s="38" t="s">
        <v>570</v>
      </c>
      <c r="B52" s="43">
        <v>195690997.54049999</v>
      </c>
      <c r="C52" s="43">
        <v>450696.82768829755</v>
      </c>
    </row>
    <row r="53" spans="1:3" x14ac:dyDescent="0.3">
      <c r="A53" s="38" t="s">
        <v>2196</v>
      </c>
      <c r="B53" s="43">
        <v>21820000</v>
      </c>
      <c r="C53" s="43">
        <v>1091000</v>
      </c>
    </row>
    <row r="54" spans="1:3" x14ac:dyDescent="0.3">
      <c r="A54" s="38" t="s">
        <v>31</v>
      </c>
      <c r="B54" s="43">
        <v>3374338132.9990001</v>
      </c>
      <c r="C54" s="43">
        <v>3024.2882069400703</v>
      </c>
    </row>
    <row r="55" spans="1:3" x14ac:dyDescent="0.3">
      <c r="A55" s="38" t="s">
        <v>328</v>
      </c>
      <c r="B55" s="43">
        <v>159082558.33920002</v>
      </c>
      <c r="C55" s="43">
        <v>221534.0106902761</v>
      </c>
    </row>
    <row r="56" spans="1:3" x14ac:dyDescent="0.3">
      <c r="A56" s="38" t="s">
        <v>185</v>
      </c>
      <c r="B56" s="43">
        <v>248034720.5</v>
      </c>
      <c r="C56" s="43">
        <v>330387.57880952378</v>
      </c>
    </row>
    <row r="57" spans="1:3" x14ac:dyDescent="0.3">
      <c r="A57" s="38" t="s">
        <v>656</v>
      </c>
      <c r="B57" s="43">
        <v>821104136.98614621</v>
      </c>
      <c r="C57" s="43">
        <v>7509.9898782133132</v>
      </c>
    </row>
    <row r="58" spans="1:3" x14ac:dyDescent="0.3">
      <c r="A58" s="38" t="s">
        <v>22</v>
      </c>
      <c r="B58" s="43">
        <v>150524875.60299999</v>
      </c>
      <c r="C58" s="43">
        <v>21421.602423499888</v>
      </c>
    </row>
    <row r="59" spans="1:3" x14ac:dyDescent="0.3">
      <c r="A59" s="38" t="s">
        <v>45</v>
      </c>
      <c r="B59" s="43">
        <v>1885208374.1410968</v>
      </c>
      <c r="C59" s="43">
        <v>1781585.614102616</v>
      </c>
    </row>
    <row r="60" spans="1:3" x14ac:dyDescent="0.3">
      <c r="A60" s="38" t="s">
        <v>1567</v>
      </c>
      <c r="B60" s="43">
        <v>602300</v>
      </c>
      <c r="C60" s="43">
        <v>3170</v>
      </c>
    </row>
    <row r="61" spans="1:3" x14ac:dyDescent="0.3">
      <c r="A61" s="38" t="s">
        <v>54</v>
      </c>
      <c r="B61" s="43">
        <v>8370242.4680000003</v>
      </c>
      <c r="C61" s="43">
        <v>12209.688</v>
      </c>
    </row>
    <row r="62" spans="1:3" x14ac:dyDescent="0.3">
      <c r="A62" s="38" t="s">
        <v>2136</v>
      </c>
      <c r="B62" s="43">
        <v>18227719562.194321</v>
      </c>
      <c r="C62" s="43">
        <v>388147.73152641096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sqref="A1:P17"/>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94</v>
      </c>
      <c r="C2" s="11" t="s">
        <v>95</v>
      </c>
      <c r="D2" s="12">
        <v>44035</v>
      </c>
      <c r="E2" s="12">
        <v>44035</v>
      </c>
      <c r="F2" s="13">
        <v>3474800</v>
      </c>
      <c r="G2" s="14">
        <v>0</v>
      </c>
      <c r="H2" s="9" t="s">
        <v>96</v>
      </c>
      <c r="I2" s="15">
        <v>830037946</v>
      </c>
      <c r="J2" s="16" t="s">
        <v>97</v>
      </c>
      <c r="K2" s="17">
        <v>73</v>
      </c>
      <c r="L2" s="18" t="s">
        <v>21</v>
      </c>
      <c r="M2" s="19">
        <v>47600</v>
      </c>
      <c r="N2" s="19">
        <v>0</v>
      </c>
      <c r="O2" s="19">
        <f t="shared" ref="O2:O17" si="0">K2*(M2+N2)</f>
        <v>3474800</v>
      </c>
      <c r="P2" s="17" t="s">
        <v>98</v>
      </c>
    </row>
    <row r="3" spans="1:16" x14ac:dyDescent="0.3">
      <c r="A3" s="9" t="s">
        <v>196</v>
      </c>
      <c r="B3" s="10" t="s">
        <v>1990</v>
      </c>
      <c r="C3" s="11" t="s">
        <v>260</v>
      </c>
      <c r="D3" s="12">
        <v>44048</v>
      </c>
      <c r="E3" s="12">
        <v>44048</v>
      </c>
      <c r="F3" s="13">
        <v>7076358</v>
      </c>
      <c r="G3" s="14">
        <v>0</v>
      </c>
      <c r="H3" s="9" t="s">
        <v>254</v>
      </c>
      <c r="I3" s="15">
        <v>830037946</v>
      </c>
      <c r="J3" s="16" t="s">
        <v>260</v>
      </c>
      <c r="K3" s="17">
        <v>131</v>
      </c>
      <c r="L3" s="18" t="s">
        <v>21</v>
      </c>
      <c r="M3" s="19">
        <v>54018</v>
      </c>
      <c r="N3" s="19">
        <v>0</v>
      </c>
      <c r="O3" s="19">
        <f t="shared" si="0"/>
        <v>7076358</v>
      </c>
      <c r="P3" s="17" t="s">
        <v>98</v>
      </c>
    </row>
    <row r="4" spans="1:16" x14ac:dyDescent="0.3">
      <c r="A4" s="9" t="s">
        <v>196</v>
      </c>
      <c r="B4" s="10" t="s">
        <v>1990</v>
      </c>
      <c r="C4" s="11" t="s">
        <v>260</v>
      </c>
      <c r="D4" s="12">
        <v>44048</v>
      </c>
      <c r="E4" s="12">
        <v>44048</v>
      </c>
      <c r="F4" s="13">
        <v>7076358</v>
      </c>
      <c r="G4" s="14">
        <v>0</v>
      </c>
      <c r="H4" s="9" t="s">
        <v>254</v>
      </c>
      <c r="I4" s="15">
        <v>830037946</v>
      </c>
      <c r="J4" s="16" t="s">
        <v>260</v>
      </c>
      <c r="K4" s="17">
        <v>131</v>
      </c>
      <c r="L4" s="18" t="s">
        <v>21</v>
      </c>
      <c r="M4" s="19">
        <v>54018</v>
      </c>
      <c r="N4" s="19">
        <v>0</v>
      </c>
      <c r="O4" s="19">
        <f t="shared" si="0"/>
        <v>7076358</v>
      </c>
      <c r="P4" s="17" t="s">
        <v>98</v>
      </c>
    </row>
    <row r="5" spans="1:16" x14ac:dyDescent="0.3">
      <c r="A5" s="9" t="s">
        <v>472</v>
      </c>
      <c r="B5" s="10" t="s">
        <v>536</v>
      </c>
      <c r="C5" s="11" t="s">
        <v>537</v>
      </c>
      <c r="D5" s="12">
        <v>44008</v>
      </c>
      <c r="E5" s="12">
        <v>44008</v>
      </c>
      <c r="F5" s="13">
        <v>1264500</v>
      </c>
      <c r="G5" s="14">
        <v>0</v>
      </c>
      <c r="H5" s="9" t="s">
        <v>96</v>
      </c>
      <c r="I5" s="15">
        <v>830037946</v>
      </c>
      <c r="J5" s="16" t="s">
        <v>538</v>
      </c>
      <c r="K5" s="17">
        <v>45</v>
      </c>
      <c r="L5" s="18" t="s">
        <v>21</v>
      </c>
      <c r="M5" s="19">
        <v>28100</v>
      </c>
      <c r="N5" s="19">
        <v>0</v>
      </c>
      <c r="O5" s="19">
        <f t="shared" si="0"/>
        <v>1264500</v>
      </c>
      <c r="P5" s="17" t="s">
        <v>98</v>
      </c>
    </row>
    <row r="6" spans="1:16" x14ac:dyDescent="0.3">
      <c r="A6" s="9" t="s">
        <v>472</v>
      </c>
      <c r="B6" s="10" t="s">
        <v>539</v>
      </c>
      <c r="C6" s="11" t="s">
        <v>540</v>
      </c>
      <c r="D6" s="12">
        <v>44013</v>
      </c>
      <c r="E6" s="12">
        <v>44013</v>
      </c>
      <c r="F6" s="13">
        <v>14984700</v>
      </c>
      <c r="G6" s="14">
        <v>0</v>
      </c>
      <c r="H6" s="9" t="s">
        <v>332</v>
      </c>
      <c r="I6" s="15">
        <v>830037946</v>
      </c>
      <c r="J6" s="16" t="s">
        <v>541</v>
      </c>
      <c r="K6" s="17">
        <v>172</v>
      </c>
      <c r="L6" s="18" t="s">
        <v>21</v>
      </c>
      <c r="M6" s="19">
        <v>57400</v>
      </c>
      <c r="N6" s="19">
        <v>0</v>
      </c>
      <c r="O6" s="19">
        <f t="shared" si="0"/>
        <v>9872800</v>
      </c>
      <c r="P6" s="17" t="s">
        <v>98</v>
      </c>
    </row>
    <row r="7" spans="1:16" x14ac:dyDescent="0.3">
      <c r="A7" s="9" t="s">
        <v>472</v>
      </c>
      <c r="B7" s="10" t="s">
        <v>539</v>
      </c>
      <c r="C7" s="11" t="s">
        <v>540</v>
      </c>
      <c r="D7" s="12">
        <v>44013</v>
      </c>
      <c r="E7" s="12">
        <v>44013</v>
      </c>
      <c r="F7" s="13">
        <v>14984700</v>
      </c>
      <c r="G7" s="14">
        <v>0</v>
      </c>
      <c r="H7" s="9" t="s">
        <v>332</v>
      </c>
      <c r="I7" s="15">
        <v>830037946</v>
      </c>
      <c r="J7" s="16" t="s">
        <v>542</v>
      </c>
      <c r="K7" s="17">
        <v>97</v>
      </c>
      <c r="L7" s="18" t="s">
        <v>21</v>
      </c>
      <c r="M7" s="19">
        <v>52700</v>
      </c>
      <c r="N7" s="19">
        <v>0</v>
      </c>
      <c r="O7" s="19">
        <f t="shared" si="0"/>
        <v>5111900</v>
      </c>
      <c r="P7" s="17" t="s">
        <v>98</v>
      </c>
    </row>
    <row r="8" spans="1:16" x14ac:dyDescent="0.3">
      <c r="A8" s="9" t="s">
        <v>558</v>
      </c>
      <c r="B8" s="10" t="s">
        <v>571</v>
      </c>
      <c r="C8" s="11" t="s">
        <v>572</v>
      </c>
      <c r="D8" s="12">
        <v>43945</v>
      </c>
      <c r="E8" s="12">
        <v>43945</v>
      </c>
      <c r="F8" s="13">
        <v>37196160</v>
      </c>
      <c r="G8" s="14">
        <v>0</v>
      </c>
      <c r="H8" s="9" t="s">
        <v>332</v>
      </c>
      <c r="I8" s="15">
        <v>800037946</v>
      </c>
      <c r="J8" s="16" t="s">
        <v>576</v>
      </c>
      <c r="K8" s="17">
        <v>60</v>
      </c>
      <c r="L8" s="18" t="s">
        <v>21</v>
      </c>
      <c r="M8" s="19">
        <v>43316</v>
      </c>
      <c r="N8" s="19">
        <v>0</v>
      </c>
      <c r="O8" s="19">
        <f t="shared" si="0"/>
        <v>2598960</v>
      </c>
      <c r="P8" s="17" t="s">
        <v>98</v>
      </c>
    </row>
    <row r="9" spans="1:16" x14ac:dyDescent="0.3">
      <c r="A9" s="9" t="s">
        <v>558</v>
      </c>
      <c r="B9" s="10" t="s">
        <v>2022</v>
      </c>
      <c r="C9" s="28" t="s">
        <v>640</v>
      </c>
      <c r="D9" s="12">
        <v>44130</v>
      </c>
      <c r="E9" s="12">
        <v>44130</v>
      </c>
      <c r="F9" s="13">
        <v>3850000</v>
      </c>
      <c r="G9" s="14">
        <v>0</v>
      </c>
      <c r="H9" s="9" t="s">
        <v>172</v>
      </c>
      <c r="I9" s="15">
        <v>900155107</v>
      </c>
      <c r="J9" s="16" t="s">
        <v>641</v>
      </c>
      <c r="K9" s="17">
        <v>70</v>
      </c>
      <c r="L9" s="18" t="s">
        <v>21</v>
      </c>
      <c r="M9" s="19">
        <v>55000</v>
      </c>
      <c r="N9" s="19">
        <v>0</v>
      </c>
      <c r="O9" s="19">
        <f t="shared" si="0"/>
        <v>3850000</v>
      </c>
      <c r="P9" s="17" t="s">
        <v>98</v>
      </c>
    </row>
    <row r="10" spans="1:16" x14ac:dyDescent="0.3">
      <c r="A10" s="9" t="s">
        <v>657</v>
      </c>
      <c r="B10" s="10" t="s">
        <v>670</v>
      </c>
      <c r="C10" s="11" t="s">
        <v>671</v>
      </c>
      <c r="D10" s="12">
        <v>44015</v>
      </c>
      <c r="E10" s="12">
        <v>44018</v>
      </c>
      <c r="F10" s="13">
        <v>201000100</v>
      </c>
      <c r="G10" s="14">
        <v>0</v>
      </c>
      <c r="H10" s="9" t="s">
        <v>660</v>
      </c>
      <c r="I10" s="15">
        <v>813005241</v>
      </c>
      <c r="J10" s="16" t="s">
        <v>675</v>
      </c>
      <c r="K10" s="17">
        <v>150</v>
      </c>
      <c r="L10" s="18" t="s">
        <v>21</v>
      </c>
      <c r="M10" s="19">
        <v>22000</v>
      </c>
      <c r="N10" s="19">
        <v>0</v>
      </c>
      <c r="O10" s="19">
        <f t="shared" si="0"/>
        <v>3300000</v>
      </c>
      <c r="P10" s="17" t="s">
        <v>98</v>
      </c>
    </row>
    <row r="11" spans="1:16" x14ac:dyDescent="0.3">
      <c r="A11" s="9" t="s">
        <v>690</v>
      </c>
      <c r="B11" s="10" t="s">
        <v>2046</v>
      </c>
      <c r="C11" s="11" t="s">
        <v>780</v>
      </c>
      <c r="D11" s="12">
        <v>44046</v>
      </c>
      <c r="E11" s="12">
        <v>44046</v>
      </c>
      <c r="F11" s="13">
        <v>2310208</v>
      </c>
      <c r="G11" s="14">
        <v>0</v>
      </c>
      <c r="H11" s="9" t="s">
        <v>332</v>
      </c>
      <c r="I11" s="15">
        <v>830037946</v>
      </c>
      <c r="J11" s="16" t="s">
        <v>780</v>
      </c>
      <c r="K11" s="17">
        <v>32</v>
      </c>
      <c r="L11" s="18" t="s">
        <v>21</v>
      </c>
      <c r="M11" s="19">
        <v>72194</v>
      </c>
      <c r="N11" s="19">
        <v>0</v>
      </c>
      <c r="O11" s="19">
        <f t="shared" si="0"/>
        <v>2310208</v>
      </c>
      <c r="P11" s="17" t="s">
        <v>98</v>
      </c>
    </row>
    <row r="12" spans="1:16" x14ac:dyDescent="0.3">
      <c r="A12" s="9" t="s">
        <v>809</v>
      </c>
      <c r="B12" s="10" t="s">
        <v>856</v>
      </c>
      <c r="C12" s="11" t="s">
        <v>857</v>
      </c>
      <c r="D12" s="12">
        <v>44015</v>
      </c>
      <c r="E12" s="12">
        <v>44018</v>
      </c>
      <c r="F12" s="13">
        <v>14999192</v>
      </c>
      <c r="G12" s="14">
        <v>0</v>
      </c>
      <c r="H12" s="9" t="s">
        <v>858</v>
      </c>
      <c r="I12" s="15">
        <v>900471617</v>
      </c>
      <c r="J12" s="16" t="s">
        <v>859</v>
      </c>
      <c r="K12" s="17">
        <v>440</v>
      </c>
      <c r="L12" s="18" t="s">
        <v>21</v>
      </c>
      <c r="M12" s="19">
        <v>29500</v>
      </c>
      <c r="N12" s="19">
        <v>0</v>
      </c>
      <c r="O12" s="19">
        <f t="shared" si="0"/>
        <v>12980000</v>
      </c>
      <c r="P12" s="17" t="s">
        <v>98</v>
      </c>
    </row>
    <row r="13" spans="1:16" x14ac:dyDescent="0.3">
      <c r="A13" s="9" t="s">
        <v>861</v>
      </c>
      <c r="B13" s="10" t="s">
        <v>975</v>
      </c>
      <c r="C13" s="11" t="s">
        <v>976</v>
      </c>
      <c r="D13" s="12">
        <v>44126</v>
      </c>
      <c r="E13" s="12">
        <v>44134</v>
      </c>
      <c r="F13" s="13">
        <v>2962800</v>
      </c>
      <c r="G13" s="14">
        <v>0</v>
      </c>
      <c r="H13" s="9" t="s">
        <v>977</v>
      </c>
      <c r="I13" s="15" t="s">
        <v>978</v>
      </c>
      <c r="J13" s="16" t="s">
        <v>979</v>
      </c>
      <c r="K13" s="17">
        <v>70</v>
      </c>
      <c r="L13" s="18" t="s">
        <v>21</v>
      </c>
      <c r="M13" s="19">
        <v>32353</v>
      </c>
      <c r="N13" s="19">
        <f t="shared" ref="N13" si="1">M13*0.19</f>
        <v>6147.07</v>
      </c>
      <c r="O13" s="19">
        <f t="shared" si="0"/>
        <v>2695004.9</v>
      </c>
      <c r="P13" s="17" t="s">
        <v>98</v>
      </c>
    </row>
    <row r="14" spans="1:16" x14ac:dyDescent="0.3">
      <c r="A14" s="9" t="s">
        <v>1091</v>
      </c>
      <c r="B14" s="10" t="s">
        <v>1235</v>
      </c>
      <c r="C14" s="11" t="s">
        <v>1236</v>
      </c>
      <c r="D14" s="12">
        <v>44005</v>
      </c>
      <c r="E14" s="12">
        <v>44005</v>
      </c>
      <c r="F14" s="13">
        <v>13923759</v>
      </c>
      <c r="G14" s="14">
        <v>0</v>
      </c>
      <c r="H14" s="9" t="s">
        <v>172</v>
      </c>
      <c r="I14" s="15">
        <v>900155107</v>
      </c>
      <c r="J14" s="16" t="s">
        <v>1237</v>
      </c>
      <c r="K14" s="17">
        <v>250</v>
      </c>
      <c r="L14" s="18" t="s">
        <v>21</v>
      </c>
      <c r="M14" s="19">
        <v>46802.551260504202</v>
      </c>
      <c r="N14" s="19">
        <f>M14*0.19</f>
        <v>8892.4847394957978</v>
      </c>
      <c r="O14" s="19">
        <f t="shared" si="0"/>
        <v>13923759</v>
      </c>
      <c r="P14" s="17" t="s">
        <v>98</v>
      </c>
    </row>
    <row r="15" spans="1:16" x14ac:dyDescent="0.3">
      <c r="A15" s="9" t="s">
        <v>1472</v>
      </c>
      <c r="B15" s="10" t="s">
        <v>1547</v>
      </c>
      <c r="C15" s="11" t="s">
        <v>1548</v>
      </c>
      <c r="D15" s="12">
        <v>43993</v>
      </c>
      <c r="E15" s="12">
        <v>43993</v>
      </c>
      <c r="F15" s="13">
        <v>3262680</v>
      </c>
      <c r="G15" s="14">
        <v>0</v>
      </c>
      <c r="H15" s="9" t="s">
        <v>332</v>
      </c>
      <c r="I15" s="15">
        <v>830037946</v>
      </c>
      <c r="J15" s="16" t="s">
        <v>1549</v>
      </c>
      <c r="K15" s="17">
        <v>54</v>
      </c>
      <c r="L15" s="18" t="s">
        <v>21</v>
      </c>
      <c r="M15" s="19">
        <v>50773.10924369748</v>
      </c>
      <c r="N15" s="19">
        <f>M15*0.19</f>
        <v>9646.8907563025205</v>
      </c>
      <c r="O15" s="19">
        <f t="shared" si="0"/>
        <v>3262680</v>
      </c>
      <c r="P15" s="17" t="s">
        <v>98</v>
      </c>
    </row>
    <row r="16" spans="1:16" x14ac:dyDescent="0.3">
      <c r="A16" s="9" t="s">
        <v>1629</v>
      </c>
      <c r="B16" s="10" t="s">
        <v>1676</v>
      </c>
      <c r="C16" s="11" t="s">
        <v>1677</v>
      </c>
      <c r="D16" s="12">
        <v>44014</v>
      </c>
      <c r="E16" s="12">
        <v>44014</v>
      </c>
      <c r="F16" s="13">
        <v>4436960</v>
      </c>
      <c r="G16" s="14">
        <v>0</v>
      </c>
      <c r="H16" s="9" t="s">
        <v>350</v>
      </c>
      <c r="I16" s="15">
        <v>900155107</v>
      </c>
      <c r="J16" s="16" t="s">
        <v>1678</v>
      </c>
      <c r="K16" s="17">
        <v>80</v>
      </c>
      <c r="L16" s="18" t="s">
        <v>21</v>
      </c>
      <c r="M16" s="19">
        <v>55462</v>
      </c>
      <c r="N16" s="19">
        <v>0</v>
      </c>
      <c r="O16" s="19">
        <f t="shared" si="0"/>
        <v>4436960</v>
      </c>
      <c r="P16" s="17" t="s">
        <v>98</v>
      </c>
    </row>
    <row r="17" spans="1:16" x14ac:dyDescent="0.3">
      <c r="A17" s="9" t="s">
        <v>1692</v>
      </c>
      <c r="B17" s="10" t="s">
        <v>1730</v>
      </c>
      <c r="C17" s="11" t="s">
        <v>1731</v>
      </c>
      <c r="D17" s="12">
        <v>44001</v>
      </c>
      <c r="E17" s="12">
        <v>44001</v>
      </c>
      <c r="F17" s="13">
        <v>3957720</v>
      </c>
      <c r="G17" s="14">
        <v>0</v>
      </c>
      <c r="H17" s="9" t="s">
        <v>1075</v>
      </c>
      <c r="I17" s="15">
        <v>900155107</v>
      </c>
      <c r="J17" s="16" t="s">
        <v>1734</v>
      </c>
      <c r="K17" s="17">
        <v>60</v>
      </c>
      <c r="L17" s="18" t="s">
        <v>21</v>
      </c>
      <c r="M17" s="19">
        <v>55462</v>
      </c>
      <c r="N17" s="19">
        <v>0</v>
      </c>
      <c r="O17" s="19">
        <f t="shared" si="0"/>
        <v>3327720</v>
      </c>
      <c r="P17" s="17" t="s">
        <v>98</v>
      </c>
    </row>
  </sheetData>
  <dataValidations count="13">
    <dataValidation type="date" allowBlank="1" showInputMessage="1" errorTitle="Entrada no válida" error="Por favor escriba una fecha válida (AAAA/MM/DD)" promptTitle="Ingrese una fecha (AAAA/MM/DD)" prompt=" Registre la fecha en la cual se SUSCRIBIÓ el contrato  (Formato AAAA/MM/DD)." sqref="D3 D8 D11 D14:D15">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16:I16 E3 A2 D4:E4 E8 E11 E14:E15 A16:B16 E17">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 F8 F11 F14:F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5:A15">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 I9 I11 I1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8:H9 H3 H11:H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8 B3 B11:B15">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8 I12">
      <formula1>-99999999999</formula1>
      <formula2>99999999999</formula2>
    </dataValidation>
    <dataValidation type="date" allowBlank="1" showInputMessage="1" errorTitle="Entrada no válida" error="Por favor escriba una fecha válida (AAAA/MM/DD)" promptTitle="Ingrese una fecha (AAAA/MM/DD)" prompt=" Registre la fecha en la cual se SUSCRIBIÓ la orden (Formato AAAA/MM/DD)." sqref="D9:E9 D12:E1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0 G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4">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1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13">
      <formula1>-9223372036854770000</formula1>
      <formula2>9223372036854770000</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election sqref="A1:P33"/>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71</v>
      </c>
      <c r="C2" s="11" t="s">
        <v>72</v>
      </c>
      <c r="D2" s="12">
        <v>43987</v>
      </c>
      <c r="E2" s="12">
        <v>43987</v>
      </c>
      <c r="F2" s="13">
        <v>9023000</v>
      </c>
      <c r="G2" s="14">
        <v>0</v>
      </c>
      <c r="H2" s="9" t="s">
        <v>73</v>
      </c>
      <c r="I2" s="15">
        <v>860062147</v>
      </c>
      <c r="J2" s="16" t="s">
        <v>74</v>
      </c>
      <c r="K2" s="17">
        <v>671</v>
      </c>
      <c r="L2" s="18" t="s">
        <v>21</v>
      </c>
      <c r="M2" s="19">
        <v>11300.08</v>
      </c>
      <c r="N2" s="19">
        <f t="shared" ref="N2" si="0">M2*0.19</f>
        <v>2147.0151999999998</v>
      </c>
      <c r="O2" s="19">
        <f t="shared" ref="O2:O33" si="1">K2*(M2+N2)</f>
        <v>9023000.8792000003</v>
      </c>
      <c r="P2" s="17" t="s">
        <v>75</v>
      </c>
    </row>
    <row r="3" spans="1:16" x14ac:dyDescent="0.3">
      <c r="A3" s="9" t="s">
        <v>196</v>
      </c>
      <c r="B3" s="10" t="s">
        <v>1984</v>
      </c>
      <c r="C3" s="11" t="s">
        <v>243</v>
      </c>
      <c r="D3" s="12">
        <v>44015</v>
      </c>
      <c r="E3" s="12">
        <v>44015</v>
      </c>
      <c r="F3" s="13">
        <v>14970000</v>
      </c>
      <c r="G3" s="14">
        <v>0</v>
      </c>
      <c r="H3" s="9" t="s">
        <v>73</v>
      </c>
      <c r="I3" s="15">
        <v>8600621471</v>
      </c>
      <c r="J3" s="16" t="s">
        <v>244</v>
      </c>
      <c r="K3" s="17">
        <v>3000</v>
      </c>
      <c r="L3" s="18" t="s">
        <v>21</v>
      </c>
      <c r="M3" s="19">
        <v>4990</v>
      </c>
      <c r="N3" s="19">
        <v>0</v>
      </c>
      <c r="O3" s="19">
        <f t="shared" si="1"/>
        <v>14970000</v>
      </c>
      <c r="P3" s="17" t="s">
        <v>75</v>
      </c>
    </row>
    <row r="4" spans="1:16" x14ac:dyDescent="0.3">
      <c r="A4" s="9" t="s">
        <v>196</v>
      </c>
      <c r="B4" s="10" t="s">
        <v>2003</v>
      </c>
      <c r="C4" s="11" t="s">
        <v>1770</v>
      </c>
      <c r="D4" s="12">
        <v>44145</v>
      </c>
      <c r="E4" s="12">
        <v>44145</v>
      </c>
      <c r="F4" s="13">
        <v>27729000</v>
      </c>
      <c r="G4" s="14">
        <v>0</v>
      </c>
      <c r="H4" s="9" t="s">
        <v>273</v>
      </c>
      <c r="I4" s="15">
        <v>901211678</v>
      </c>
      <c r="J4" s="16" t="s">
        <v>74</v>
      </c>
      <c r="K4" s="17">
        <v>10665</v>
      </c>
      <c r="L4" s="18" t="s">
        <v>21</v>
      </c>
      <c r="M4" s="19">
        <v>2600</v>
      </c>
      <c r="N4" s="19">
        <v>0</v>
      </c>
      <c r="O4" s="19">
        <f t="shared" si="1"/>
        <v>27729000</v>
      </c>
      <c r="P4" s="17" t="s">
        <v>75</v>
      </c>
    </row>
    <row r="5" spans="1:16" x14ac:dyDescent="0.3">
      <c r="A5" s="9" t="s">
        <v>284</v>
      </c>
      <c r="B5" s="10" t="s">
        <v>361</v>
      </c>
      <c r="C5" s="11" t="s">
        <v>362</v>
      </c>
      <c r="D5" s="12">
        <v>43986</v>
      </c>
      <c r="E5" s="12">
        <v>43986</v>
      </c>
      <c r="F5" s="13">
        <v>11002000</v>
      </c>
      <c r="G5" s="14">
        <v>0</v>
      </c>
      <c r="H5" s="9" t="s">
        <v>363</v>
      </c>
      <c r="I5" s="15">
        <v>860062147</v>
      </c>
      <c r="J5" s="16" t="s">
        <v>364</v>
      </c>
      <c r="K5" s="17">
        <v>829</v>
      </c>
      <c r="L5" s="18" t="s">
        <v>21</v>
      </c>
      <c r="M5" s="19">
        <v>13000</v>
      </c>
      <c r="N5" s="19">
        <v>0</v>
      </c>
      <c r="O5" s="19">
        <f t="shared" si="1"/>
        <v>10777000</v>
      </c>
      <c r="P5" s="17" t="s">
        <v>75</v>
      </c>
    </row>
    <row r="6" spans="1:16" x14ac:dyDescent="0.3">
      <c r="A6" s="9" t="s">
        <v>284</v>
      </c>
      <c r="B6" s="10" t="s">
        <v>378</v>
      </c>
      <c r="C6" s="11" t="s">
        <v>379</v>
      </c>
      <c r="D6" s="12">
        <v>44041</v>
      </c>
      <c r="E6" s="12">
        <v>44041</v>
      </c>
      <c r="F6" s="13">
        <v>1341920</v>
      </c>
      <c r="G6" s="14">
        <v>0</v>
      </c>
      <c r="H6" s="9" t="s">
        <v>363</v>
      </c>
      <c r="I6" s="15">
        <v>860062147</v>
      </c>
      <c r="J6" s="16" t="s">
        <v>364</v>
      </c>
      <c r="K6" s="17">
        <v>388</v>
      </c>
      <c r="L6" s="18" t="s">
        <v>21</v>
      </c>
      <c r="M6" s="19">
        <v>2840</v>
      </c>
      <c r="N6" s="19">
        <v>0</v>
      </c>
      <c r="O6" s="19">
        <f t="shared" si="1"/>
        <v>1101920</v>
      </c>
      <c r="P6" s="17" t="s">
        <v>75</v>
      </c>
    </row>
    <row r="7" spans="1:16" x14ac:dyDescent="0.3">
      <c r="A7" s="9" t="s">
        <v>402</v>
      </c>
      <c r="B7" s="10" t="s">
        <v>424</v>
      </c>
      <c r="C7" s="11" t="s">
        <v>425</v>
      </c>
      <c r="D7" s="12">
        <v>43969</v>
      </c>
      <c r="E7" s="12">
        <v>43969</v>
      </c>
      <c r="F7" s="13">
        <v>1719600</v>
      </c>
      <c r="G7" s="14">
        <v>1719600</v>
      </c>
      <c r="H7" s="9" t="s">
        <v>63</v>
      </c>
      <c r="I7" s="15">
        <v>890900943</v>
      </c>
      <c r="J7" s="16" t="s">
        <v>426</v>
      </c>
      <c r="K7" s="17">
        <v>600</v>
      </c>
      <c r="L7" s="18" t="s">
        <v>21</v>
      </c>
      <c r="M7" s="19">
        <v>5732</v>
      </c>
      <c r="N7" s="19">
        <v>0</v>
      </c>
      <c r="O7" s="19">
        <f t="shared" si="1"/>
        <v>3439200</v>
      </c>
      <c r="P7" s="17" t="s">
        <v>75</v>
      </c>
    </row>
    <row r="8" spans="1:16" x14ac:dyDescent="0.3">
      <c r="A8" s="9" t="s">
        <v>402</v>
      </c>
      <c r="B8" s="10" t="s">
        <v>451</v>
      </c>
      <c r="C8" s="11" t="s">
        <v>452</v>
      </c>
      <c r="D8" s="12">
        <v>43999</v>
      </c>
      <c r="E8" s="12">
        <v>43999</v>
      </c>
      <c r="F8" s="13">
        <v>21212130</v>
      </c>
      <c r="G8" s="14">
        <v>0</v>
      </c>
      <c r="H8" s="9" t="s">
        <v>453</v>
      </c>
      <c r="I8" s="15">
        <v>890307682</v>
      </c>
      <c r="J8" s="16" t="s">
        <v>74</v>
      </c>
      <c r="K8" s="17">
        <v>3000</v>
      </c>
      <c r="L8" s="18" t="s">
        <v>21</v>
      </c>
      <c r="M8" s="19">
        <v>7070.71</v>
      </c>
      <c r="N8" s="19">
        <v>0</v>
      </c>
      <c r="O8" s="19">
        <f t="shared" si="1"/>
        <v>21212130</v>
      </c>
      <c r="P8" s="17" t="s">
        <v>75</v>
      </c>
    </row>
    <row r="9" spans="1:16" x14ac:dyDescent="0.3">
      <c r="A9" s="9" t="s">
        <v>472</v>
      </c>
      <c r="B9" s="10" t="s">
        <v>518</v>
      </c>
      <c r="C9" s="11" t="s">
        <v>519</v>
      </c>
      <c r="D9" s="12">
        <v>43983</v>
      </c>
      <c r="E9" s="12">
        <v>43983</v>
      </c>
      <c r="F9" s="13">
        <v>2672925</v>
      </c>
      <c r="G9" s="14">
        <v>0</v>
      </c>
      <c r="H9" s="9" t="s">
        <v>520</v>
      </c>
      <c r="I9" s="15">
        <v>890900943</v>
      </c>
      <c r="J9" s="16" t="s">
        <v>521</v>
      </c>
      <c r="K9" s="17">
        <v>471</v>
      </c>
      <c r="L9" s="18" t="s">
        <v>21</v>
      </c>
      <c r="M9" s="19">
        <v>5675</v>
      </c>
      <c r="N9" s="19">
        <v>0</v>
      </c>
      <c r="O9" s="19">
        <f t="shared" si="1"/>
        <v>2672925</v>
      </c>
      <c r="P9" s="17" t="s">
        <v>75</v>
      </c>
    </row>
    <row r="10" spans="1:16" x14ac:dyDescent="0.3">
      <c r="A10" s="9" t="s">
        <v>472</v>
      </c>
      <c r="B10" s="10" t="s">
        <v>529</v>
      </c>
      <c r="C10" s="11" t="s">
        <v>530</v>
      </c>
      <c r="D10" s="12">
        <v>44005</v>
      </c>
      <c r="E10" s="12">
        <v>44005</v>
      </c>
      <c r="F10" s="13">
        <v>3778000</v>
      </c>
      <c r="G10" s="14">
        <v>0</v>
      </c>
      <c r="H10" s="9" t="s">
        <v>531</v>
      </c>
      <c r="I10" s="15">
        <v>890307682</v>
      </c>
      <c r="J10" s="16" t="s">
        <v>532</v>
      </c>
      <c r="K10" s="17">
        <v>529</v>
      </c>
      <c r="L10" s="18" t="s">
        <v>21</v>
      </c>
      <c r="M10" s="19">
        <v>7000</v>
      </c>
      <c r="N10" s="19">
        <v>0</v>
      </c>
      <c r="O10" s="19">
        <f t="shared" si="1"/>
        <v>3703000</v>
      </c>
      <c r="P10" s="17" t="s">
        <v>75</v>
      </c>
    </row>
    <row r="11" spans="1:16" x14ac:dyDescent="0.3">
      <c r="A11" s="9" t="s">
        <v>472</v>
      </c>
      <c r="B11" s="10" t="s">
        <v>546</v>
      </c>
      <c r="C11" s="11" t="s">
        <v>1786</v>
      </c>
      <c r="D11" s="12">
        <v>44089</v>
      </c>
      <c r="E11" s="12">
        <v>44089</v>
      </c>
      <c r="F11" s="13">
        <v>385000</v>
      </c>
      <c r="G11" s="14">
        <v>0</v>
      </c>
      <c r="H11" s="9" t="s">
        <v>531</v>
      </c>
      <c r="I11" s="15" t="s">
        <v>547</v>
      </c>
      <c r="J11" s="16" t="s">
        <v>548</v>
      </c>
      <c r="K11" s="17">
        <v>150</v>
      </c>
      <c r="L11" s="18" t="s">
        <v>21</v>
      </c>
      <c r="M11" s="19">
        <v>2566.6666666666665</v>
      </c>
      <c r="N11" s="19">
        <v>0</v>
      </c>
      <c r="O11" s="19">
        <f t="shared" si="1"/>
        <v>385000</v>
      </c>
      <c r="P11" s="17" t="s">
        <v>75</v>
      </c>
    </row>
    <row r="12" spans="1:16" x14ac:dyDescent="0.3">
      <c r="A12" s="9" t="s">
        <v>558</v>
      </c>
      <c r="B12" s="10" t="s">
        <v>2023</v>
      </c>
      <c r="C12" s="28" t="s">
        <v>642</v>
      </c>
      <c r="D12" s="12">
        <v>44126</v>
      </c>
      <c r="E12" s="12">
        <v>44126</v>
      </c>
      <c r="F12" s="13">
        <v>5710500</v>
      </c>
      <c r="G12" s="14">
        <v>0</v>
      </c>
      <c r="H12" s="9" t="s">
        <v>332</v>
      </c>
      <c r="I12" s="15">
        <v>830037946</v>
      </c>
      <c r="J12" s="16" t="s">
        <v>643</v>
      </c>
      <c r="K12" s="17">
        <v>500</v>
      </c>
      <c r="L12" s="18" t="s">
        <v>21</v>
      </c>
      <c r="M12" s="19">
        <v>11421</v>
      </c>
      <c r="N12" s="19">
        <v>0</v>
      </c>
      <c r="O12" s="19">
        <f t="shared" si="1"/>
        <v>5710500</v>
      </c>
      <c r="P12" s="17" t="s">
        <v>75</v>
      </c>
    </row>
    <row r="13" spans="1:16" x14ac:dyDescent="0.3">
      <c r="A13" s="9" t="s">
        <v>558</v>
      </c>
      <c r="B13" s="10" t="s">
        <v>2026</v>
      </c>
      <c r="C13" s="28" t="s">
        <v>648</v>
      </c>
      <c r="D13" s="12">
        <v>44168</v>
      </c>
      <c r="E13" s="12">
        <v>44168</v>
      </c>
      <c r="F13" s="13">
        <v>5250000</v>
      </c>
      <c r="G13" s="14">
        <v>0</v>
      </c>
      <c r="H13" s="9" t="s">
        <v>649</v>
      </c>
      <c r="I13" s="15">
        <v>830037946</v>
      </c>
      <c r="J13" t="s">
        <v>643</v>
      </c>
      <c r="K13" s="17">
        <v>500</v>
      </c>
      <c r="L13" s="18" t="s">
        <v>21</v>
      </c>
      <c r="M13" s="19">
        <v>10500</v>
      </c>
      <c r="N13" s="19">
        <v>0</v>
      </c>
      <c r="O13" s="19">
        <f t="shared" si="1"/>
        <v>5250000</v>
      </c>
      <c r="P13" s="17" t="s">
        <v>75</v>
      </c>
    </row>
    <row r="14" spans="1:16" x14ac:dyDescent="0.3">
      <c r="A14" s="9" t="s">
        <v>657</v>
      </c>
      <c r="B14" s="10" t="s">
        <v>670</v>
      </c>
      <c r="C14" s="11" t="s">
        <v>671</v>
      </c>
      <c r="D14" s="12">
        <v>44015</v>
      </c>
      <c r="E14" s="12">
        <v>44018</v>
      </c>
      <c r="F14" s="13">
        <v>201000100</v>
      </c>
      <c r="G14" s="14">
        <v>0</v>
      </c>
      <c r="H14" s="9" t="s">
        <v>660</v>
      </c>
      <c r="I14" s="15">
        <v>813005241</v>
      </c>
      <c r="J14" s="16" t="s">
        <v>75</v>
      </c>
      <c r="K14" s="17">
        <v>1000</v>
      </c>
      <c r="L14" s="18" t="s">
        <v>21</v>
      </c>
      <c r="M14" s="19">
        <v>8300</v>
      </c>
      <c r="N14" s="19">
        <v>0</v>
      </c>
      <c r="O14" s="19">
        <f t="shared" si="1"/>
        <v>8300000</v>
      </c>
      <c r="P14" s="17" t="s">
        <v>75</v>
      </c>
    </row>
    <row r="15" spans="1:16" x14ac:dyDescent="0.3">
      <c r="A15" s="9" t="s">
        <v>657</v>
      </c>
      <c r="B15" s="10" t="s">
        <v>2030</v>
      </c>
      <c r="C15" s="11" t="s">
        <v>1797</v>
      </c>
      <c r="D15" s="12">
        <v>44161</v>
      </c>
      <c r="E15" s="12">
        <v>44161</v>
      </c>
      <c r="F15" s="13">
        <v>2400000</v>
      </c>
      <c r="G15" s="14">
        <v>0</v>
      </c>
      <c r="H15" s="9" t="s">
        <v>687</v>
      </c>
      <c r="I15" s="15">
        <v>900907931</v>
      </c>
      <c r="J15" s="16" t="s">
        <v>75</v>
      </c>
      <c r="K15" s="17">
        <v>1200</v>
      </c>
      <c r="L15" s="18" t="s">
        <v>21</v>
      </c>
      <c r="M15" s="19">
        <v>2000</v>
      </c>
      <c r="N15" s="19">
        <v>0</v>
      </c>
      <c r="O15" s="19">
        <f t="shared" si="1"/>
        <v>2400000</v>
      </c>
      <c r="P15" s="17" t="s">
        <v>75</v>
      </c>
    </row>
    <row r="16" spans="1:16" x14ac:dyDescent="0.3">
      <c r="A16" s="9" t="s">
        <v>690</v>
      </c>
      <c r="B16" s="10" t="s">
        <v>2043</v>
      </c>
      <c r="C16" s="11" t="s">
        <v>759</v>
      </c>
      <c r="D16" s="12">
        <v>43987</v>
      </c>
      <c r="E16" s="12">
        <v>43987</v>
      </c>
      <c r="F16" s="13">
        <v>8100000</v>
      </c>
      <c r="G16" s="14">
        <v>2600000</v>
      </c>
      <c r="H16" s="9" t="s">
        <v>760</v>
      </c>
      <c r="I16" s="15">
        <v>860062147</v>
      </c>
      <c r="J16" s="16" t="s">
        <v>759</v>
      </c>
      <c r="K16" s="17">
        <v>800</v>
      </c>
      <c r="L16" s="18" t="s">
        <v>21</v>
      </c>
      <c r="M16" s="19">
        <v>13000</v>
      </c>
      <c r="N16" s="19">
        <v>0</v>
      </c>
      <c r="O16" s="19">
        <f t="shared" si="1"/>
        <v>10400000</v>
      </c>
      <c r="P16" s="17" t="s">
        <v>75</v>
      </c>
    </row>
    <row r="17" spans="1:16" x14ac:dyDescent="0.3">
      <c r="A17" s="33" t="s">
        <v>690</v>
      </c>
      <c r="B17" s="33" t="s">
        <v>798</v>
      </c>
      <c r="C17" s="33" t="s">
        <v>1807</v>
      </c>
      <c r="D17" s="34">
        <v>44147</v>
      </c>
      <c r="E17" s="34">
        <v>44147</v>
      </c>
      <c r="F17" s="35">
        <v>614000</v>
      </c>
      <c r="G17" s="14">
        <v>0</v>
      </c>
      <c r="H17" s="33" t="s">
        <v>401</v>
      </c>
      <c r="I17" s="36">
        <v>901211678</v>
      </c>
      <c r="J17" s="33" t="s">
        <v>1871</v>
      </c>
      <c r="K17" s="17">
        <v>200</v>
      </c>
      <c r="L17" s="18" t="s">
        <v>21</v>
      </c>
      <c r="M17" s="19">
        <v>2700</v>
      </c>
      <c r="N17" s="19">
        <v>0</v>
      </c>
      <c r="O17" s="19">
        <f t="shared" si="1"/>
        <v>540000</v>
      </c>
      <c r="P17" s="17" t="s">
        <v>75</v>
      </c>
    </row>
    <row r="18" spans="1:16" x14ac:dyDescent="0.3">
      <c r="A18" s="9" t="s">
        <v>809</v>
      </c>
      <c r="B18" s="10" t="s">
        <v>823</v>
      </c>
      <c r="C18" s="11" t="s">
        <v>824</v>
      </c>
      <c r="D18" s="12">
        <v>43994</v>
      </c>
      <c r="E18" s="12">
        <v>43998</v>
      </c>
      <c r="F18" s="13">
        <v>36000000</v>
      </c>
      <c r="G18" s="14">
        <v>0</v>
      </c>
      <c r="H18" s="9" t="s">
        <v>825</v>
      </c>
      <c r="I18" s="15">
        <v>900673010</v>
      </c>
      <c r="J18" s="16" t="s">
        <v>826</v>
      </c>
      <c r="K18" s="17">
        <v>4000</v>
      </c>
      <c r="L18" s="18" t="s">
        <v>21</v>
      </c>
      <c r="M18" s="19">
        <v>9000</v>
      </c>
      <c r="N18" s="19">
        <v>0</v>
      </c>
      <c r="O18" s="19">
        <f t="shared" si="1"/>
        <v>36000000</v>
      </c>
      <c r="P18" s="17" t="s">
        <v>75</v>
      </c>
    </row>
    <row r="19" spans="1:16" x14ac:dyDescent="0.3">
      <c r="A19" s="9" t="s">
        <v>1006</v>
      </c>
      <c r="B19" s="10" t="s">
        <v>1038</v>
      </c>
      <c r="C19" s="11" t="s">
        <v>1029</v>
      </c>
      <c r="D19" s="12">
        <v>43984</v>
      </c>
      <c r="E19" s="12">
        <v>43990</v>
      </c>
      <c r="F19" s="13">
        <v>3253250</v>
      </c>
      <c r="G19" s="14">
        <v>0</v>
      </c>
      <c r="H19" s="9" t="s">
        <v>1039</v>
      </c>
      <c r="I19" s="15">
        <v>900348560</v>
      </c>
      <c r="J19" s="16" t="s">
        <v>1040</v>
      </c>
      <c r="K19" s="17">
        <v>275</v>
      </c>
      <c r="L19" s="18" t="s">
        <v>21</v>
      </c>
      <c r="M19" s="19">
        <v>11830</v>
      </c>
      <c r="N19" s="19">
        <v>0</v>
      </c>
      <c r="O19" s="19">
        <f t="shared" si="1"/>
        <v>3253250</v>
      </c>
      <c r="P19" s="17" t="s">
        <v>75</v>
      </c>
    </row>
    <row r="20" spans="1:16" x14ac:dyDescent="0.3">
      <c r="A20" s="9" t="s">
        <v>1006</v>
      </c>
      <c r="B20" s="10" t="s">
        <v>1976</v>
      </c>
      <c r="C20" s="11" t="s">
        <v>1029</v>
      </c>
      <c r="D20" s="12">
        <v>44123</v>
      </c>
      <c r="E20" s="12">
        <v>44123</v>
      </c>
      <c r="F20" s="13">
        <v>40675500</v>
      </c>
      <c r="G20" s="14">
        <v>0</v>
      </c>
      <c r="H20" s="9" t="s">
        <v>1039</v>
      </c>
      <c r="I20" s="15">
        <v>900348560</v>
      </c>
      <c r="J20" s="16" t="s">
        <v>1977</v>
      </c>
      <c r="K20" s="17">
        <v>3537</v>
      </c>
      <c r="L20" s="18" t="s">
        <v>21</v>
      </c>
      <c r="M20" s="19">
        <v>11500</v>
      </c>
      <c r="N20" s="19">
        <v>0</v>
      </c>
      <c r="O20" s="19">
        <f t="shared" si="1"/>
        <v>40675500</v>
      </c>
      <c r="P20" s="17" t="s">
        <v>75</v>
      </c>
    </row>
    <row r="21" spans="1:16" x14ac:dyDescent="0.3">
      <c r="A21" s="9" t="s">
        <v>1050</v>
      </c>
      <c r="B21" s="10" t="s">
        <v>1074</v>
      </c>
      <c r="C21" s="11" t="s">
        <v>1072</v>
      </c>
      <c r="D21" s="12">
        <v>43985</v>
      </c>
      <c r="E21" s="12">
        <v>43986</v>
      </c>
      <c r="F21" s="13">
        <v>44570660</v>
      </c>
      <c r="G21" s="14">
        <v>0</v>
      </c>
      <c r="H21" s="9" t="s">
        <v>1075</v>
      </c>
      <c r="I21" s="15">
        <v>900155107</v>
      </c>
      <c r="J21" s="16" t="s">
        <v>1077</v>
      </c>
      <c r="K21" s="17">
        <v>3100</v>
      </c>
      <c r="L21" s="18" t="s">
        <v>21</v>
      </c>
      <c r="M21" s="19">
        <v>7501</v>
      </c>
      <c r="N21" s="19">
        <v>0</v>
      </c>
      <c r="O21" s="19">
        <f t="shared" si="1"/>
        <v>23253100</v>
      </c>
      <c r="P21" s="17" t="s">
        <v>75</v>
      </c>
    </row>
    <row r="22" spans="1:16" x14ac:dyDescent="0.3">
      <c r="A22" s="9" t="s">
        <v>1091</v>
      </c>
      <c r="B22" s="10" t="s">
        <v>1147</v>
      </c>
      <c r="C22" s="11" t="s">
        <v>1148</v>
      </c>
      <c r="D22" s="12">
        <v>43998</v>
      </c>
      <c r="E22" s="12">
        <v>43998</v>
      </c>
      <c r="F22" s="13">
        <v>16884432</v>
      </c>
      <c r="G22" s="14">
        <v>0</v>
      </c>
      <c r="H22" s="9" t="s">
        <v>531</v>
      </c>
      <c r="I22" s="15">
        <v>890307682</v>
      </c>
      <c r="J22" s="16" t="s">
        <v>364</v>
      </c>
      <c r="K22" s="17">
        <v>2400</v>
      </c>
      <c r="L22" s="18" t="s">
        <v>21</v>
      </c>
      <c r="M22" s="19">
        <v>7035.18</v>
      </c>
      <c r="N22" s="19">
        <v>0</v>
      </c>
      <c r="O22" s="19">
        <f t="shared" si="1"/>
        <v>16884432</v>
      </c>
      <c r="P22" s="17" t="s">
        <v>75</v>
      </c>
    </row>
    <row r="23" spans="1:16" x14ac:dyDescent="0.3">
      <c r="A23" s="9" t="s">
        <v>1291</v>
      </c>
      <c r="B23" s="10">
        <v>51355</v>
      </c>
      <c r="C23" s="11" t="s">
        <v>2183</v>
      </c>
      <c r="D23" s="12">
        <v>44013</v>
      </c>
      <c r="E23" s="12">
        <v>44013</v>
      </c>
      <c r="F23" s="13">
        <v>1986500</v>
      </c>
      <c r="G23" s="14">
        <v>0</v>
      </c>
      <c r="H23" s="9" t="s">
        <v>363</v>
      </c>
      <c r="I23" s="15">
        <v>860062147</v>
      </c>
      <c r="J23" s="16" t="s">
        <v>2184</v>
      </c>
      <c r="K23" s="17">
        <v>350</v>
      </c>
      <c r="L23" s="18" t="s">
        <v>21</v>
      </c>
      <c r="M23" s="19">
        <v>4990</v>
      </c>
      <c r="N23" s="19">
        <v>0</v>
      </c>
      <c r="O23" s="19">
        <f t="shared" si="1"/>
        <v>1746500</v>
      </c>
      <c r="P23" s="17" t="s">
        <v>75</v>
      </c>
    </row>
    <row r="24" spans="1:16" x14ac:dyDescent="0.3">
      <c r="A24" s="9" t="s">
        <v>1291</v>
      </c>
      <c r="B24" s="10">
        <v>62167</v>
      </c>
      <c r="C24" s="11" t="s">
        <v>2224</v>
      </c>
      <c r="D24" s="12">
        <v>44182</v>
      </c>
      <c r="E24" s="12">
        <v>44182</v>
      </c>
      <c r="F24" s="13">
        <v>100000</v>
      </c>
      <c r="G24" s="14">
        <v>0</v>
      </c>
      <c r="H24" s="9" t="s">
        <v>687</v>
      </c>
      <c r="I24" s="15">
        <v>900907931</v>
      </c>
      <c r="J24" s="16" t="s">
        <v>2225</v>
      </c>
      <c r="K24" s="17">
        <v>50</v>
      </c>
      <c r="L24" s="18" t="s">
        <v>21</v>
      </c>
      <c r="M24" s="19">
        <v>2000</v>
      </c>
      <c r="N24" s="19">
        <v>0</v>
      </c>
      <c r="O24" s="19">
        <f t="shared" si="1"/>
        <v>100000</v>
      </c>
      <c r="P24" s="17" t="s">
        <v>75</v>
      </c>
    </row>
    <row r="25" spans="1:16" x14ac:dyDescent="0.3">
      <c r="A25" s="9" t="s">
        <v>1306</v>
      </c>
      <c r="B25" s="10" t="s">
        <v>2067</v>
      </c>
      <c r="C25" s="11" t="s">
        <v>1819</v>
      </c>
      <c r="D25" s="12">
        <v>44005</v>
      </c>
      <c r="E25" s="12">
        <v>44005</v>
      </c>
      <c r="F25" s="13">
        <v>1100000</v>
      </c>
      <c r="G25" s="14">
        <v>0</v>
      </c>
      <c r="H25" s="9" t="s">
        <v>332</v>
      </c>
      <c r="I25" s="15">
        <v>830037946</v>
      </c>
      <c r="J25" s="16" t="s">
        <v>75</v>
      </c>
      <c r="K25" s="17">
        <v>100</v>
      </c>
      <c r="L25" s="18" t="s">
        <v>21</v>
      </c>
      <c r="M25" s="19">
        <v>11000</v>
      </c>
      <c r="N25" s="19">
        <v>0</v>
      </c>
      <c r="O25" s="19">
        <f t="shared" si="1"/>
        <v>1100000</v>
      </c>
      <c r="P25" s="17" t="s">
        <v>75</v>
      </c>
    </row>
    <row r="26" spans="1:16" x14ac:dyDescent="0.3">
      <c r="A26" s="9" t="s">
        <v>1437</v>
      </c>
      <c r="B26" s="10" t="s">
        <v>2072</v>
      </c>
      <c r="C26" s="11" t="s">
        <v>1822</v>
      </c>
      <c r="D26" s="12">
        <v>44147</v>
      </c>
      <c r="E26" s="12">
        <v>44147</v>
      </c>
      <c r="F26" s="13">
        <v>2821426.73</v>
      </c>
      <c r="G26" s="14">
        <v>0</v>
      </c>
      <c r="H26" s="9" t="s">
        <v>1457</v>
      </c>
      <c r="I26" s="15" t="s">
        <v>1458</v>
      </c>
      <c r="J26" s="16" t="s">
        <v>1459</v>
      </c>
      <c r="K26" s="17">
        <v>900</v>
      </c>
      <c r="L26" s="18" t="s">
        <v>21</v>
      </c>
      <c r="M26" s="19">
        <v>3134.91</v>
      </c>
      <c r="N26" s="19">
        <v>0</v>
      </c>
      <c r="O26" s="19">
        <f t="shared" si="1"/>
        <v>2821419</v>
      </c>
      <c r="P26" s="17" t="s">
        <v>75</v>
      </c>
    </row>
    <row r="27" spans="1:16" x14ac:dyDescent="0.3">
      <c r="A27" s="9" t="s">
        <v>1472</v>
      </c>
      <c r="B27" s="10" t="s">
        <v>1541</v>
      </c>
      <c r="C27" s="11" t="s">
        <v>1542</v>
      </c>
      <c r="D27" s="12">
        <v>43987</v>
      </c>
      <c r="E27" s="12">
        <v>43987</v>
      </c>
      <c r="F27" s="13">
        <v>4308511.47</v>
      </c>
      <c r="G27" s="14">
        <v>0</v>
      </c>
      <c r="H27" s="9" t="s">
        <v>363</v>
      </c>
      <c r="I27" s="15">
        <v>860062147</v>
      </c>
      <c r="J27" s="16" t="s">
        <v>364</v>
      </c>
      <c r="K27" s="17">
        <v>300</v>
      </c>
      <c r="L27" s="18" t="s">
        <v>21</v>
      </c>
      <c r="M27" s="19">
        <v>13829.79</v>
      </c>
      <c r="N27" s="19">
        <v>0</v>
      </c>
      <c r="O27" s="19">
        <f t="shared" si="1"/>
        <v>4148937.0000000005</v>
      </c>
      <c r="P27" s="17" t="s">
        <v>75</v>
      </c>
    </row>
    <row r="28" spans="1:16" x14ac:dyDescent="0.3">
      <c r="A28" s="9" t="s">
        <v>1571</v>
      </c>
      <c r="B28" s="10" t="s">
        <v>2088</v>
      </c>
      <c r="C28" s="11" t="s">
        <v>1602</v>
      </c>
      <c r="D28" s="12">
        <v>43994</v>
      </c>
      <c r="E28" s="12">
        <v>43994</v>
      </c>
      <c r="F28" s="13">
        <v>11313136</v>
      </c>
      <c r="G28" s="14">
        <v>0</v>
      </c>
      <c r="H28" s="9" t="s">
        <v>531</v>
      </c>
      <c r="I28" s="15">
        <v>890307682</v>
      </c>
      <c r="J28" s="16" t="s">
        <v>1603</v>
      </c>
      <c r="K28" s="17">
        <v>1600</v>
      </c>
      <c r="L28" s="18" t="s">
        <v>21</v>
      </c>
      <c r="M28" s="19">
        <v>7070.71</v>
      </c>
      <c r="N28" s="19">
        <v>0</v>
      </c>
      <c r="O28" s="19">
        <f t="shared" si="1"/>
        <v>11313136</v>
      </c>
      <c r="P28" s="17" t="s">
        <v>75</v>
      </c>
    </row>
    <row r="29" spans="1:16" x14ac:dyDescent="0.3">
      <c r="A29" s="9" t="s">
        <v>1571</v>
      </c>
      <c r="B29" s="10" t="s">
        <v>2111</v>
      </c>
      <c r="C29" s="11" t="s">
        <v>1829</v>
      </c>
      <c r="D29" s="12">
        <v>44181</v>
      </c>
      <c r="E29" s="12">
        <v>44181</v>
      </c>
      <c r="F29" s="13">
        <v>1101009.0900000001</v>
      </c>
      <c r="G29" s="14">
        <v>0</v>
      </c>
      <c r="H29" s="9" t="s">
        <v>1628</v>
      </c>
      <c r="I29" s="15">
        <v>900907931</v>
      </c>
      <c r="J29" s="16" t="s">
        <v>1603</v>
      </c>
      <c r="K29" s="17">
        <v>500</v>
      </c>
      <c r="L29" s="18" t="s">
        <v>21</v>
      </c>
      <c r="M29" s="19">
        <v>2020.2</v>
      </c>
      <c r="N29" s="19">
        <v>0</v>
      </c>
      <c r="O29" s="19">
        <f t="shared" si="1"/>
        <v>1010100</v>
      </c>
      <c r="P29" s="17" t="s">
        <v>75</v>
      </c>
    </row>
    <row r="30" spans="1:16" x14ac:dyDescent="0.3">
      <c r="A30" s="9" t="s">
        <v>1629</v>
      </c>
      <c r="B30" s="10" t="s">
        <v>1669</v>
      </c>
      <c r="C30" s="11" t="s">
        <v>1670</v>
      </c>
      <c r="D30" s="12">
        <v>43994</v>
      </c>
      <c r="E30" s="12">
        <v>43994</v>
      </c>
      <c r="F30" s="13">
        <v>5053127.3099999996</v>
      </c>
      <c r="G30" s="14">
        <v>0</v>
      </c>
      <c r="H30" s="9" t="s">
        <v>1671</v>
      </c>
      <c r="I30" s="15">
        <v>890307682</v>
      </c>
      <c r="J30" s="16" t="s">
        <v>1672</v>
      </c>
      <c r="K30" s="17">
        <v>693</v>
      </c>
      <c r="L30" s="18" t="s">
        <v>21</v>
      </c>
      <c r="M30" s="19">
        <v>7291.67</v>
      </c>
      <c r="N30" s="19">
        <v>0</v>
      </c>
      <c r="O30" s="19">
        <f t="shared" si="1"/>
        <v>5053127.3099999996</v>
      </c>
      <c r="P30" s="17" t="s">
        <v>75</v>
      </c>
    </row>
    <row r="31" spans="1:16" x14ac:dyDescent="0.3">
      <c r="A31" s="9" t="s">
        <v>1692</v>
      </c>
      <c r="B31" s="10" t="s">
        <v>1742</v>
      </c>
      <c r="C31" s="11" t="s">
        <v>1740</v>
      </c>
      <c r="D31" s="12">
        <v>44008</v>
      </c>
      <c r="E31" s="12">
        <v>44008</v>
      </c>
      <c r="F31" s="13">
        <v>2535000</v>
      </c>
      <c r="G31" s="14">
        <v>0</v>
      </c>
      <c r="H31" s="9" t="s">
        <v>280</v>
      </c>
      <c r="I31" s="15">
        <v>900505419</v>
      </c>
      <c r="J31" s="16" t="s">
        <v>1743</v>
      </c>
      <c r="K31" s="17">
        <v>350</v>
      </c>
      <c r="L31" s="18" t="s">
        <v>21</v>
      </c>
      <c r="M31" s="19">
        <v>6900</v>
      </c>
      <c r="N31" s="19">
        <v>0</v>
      </c>
      <c r="O31" s="19">
        <f t="shared" si="1"/>
        <v>2415000</v>
      </c>
      <c r="P31" s="17" t="s">
        <v>75</v>
      </c>
    </row>
    <row r="32" spans="1:16" x14ac:dyDescent="0.3">
      <c r="A32" s="9" t="s">
        <v>1692</v>
      </c>
      <c r="B32" s="10" t="s">
        <v>1748</v>
      </c>
      <c r="C32" s="11" t="s">
        <v>1749</v>
      </c>
      <c r="D32" s="12">
        <v>44034</v>
      </c>
      <c r="E32" s="12">
        <v>44034</v>
      </c>
      <c r="F32" s="13">
        <v>2410000</v>
      </c>
      <c r="G32" s="14">
        <v>0</v>
      </c>
      <c r="H32" s="9" t="s">
        <v>1075</v>
      </c>
      <c r="I32" s="15">
        <v>901211678</v>
      </c>
      <c r="J32" s="16" t="s">
        <v>364</v>
      </c>
      <c r="K32" s="17">
        <v>600</v>
      </c>
      <c r="L32" s="18" t="s">
        <v>21</v>
      </c>
      <c r="M32" s="19">
        <v>3850</v>
      </c>
      <c r="N32" s="19">
        <v>0</v>
      </c>
      <c r="O32" s="19">
        <f t="shared" si="1"/>
        <v>2310000</v>
      </c>
      <c r="P32" s="17" t="s">
        <v>75</v>
      </c>
    </row>
    <row r="33" spans="1:16" x14ac:dyDescent="0.3">
      <c r="A33" s="9" t="s">
        <v>1692</v>
      </c>
      <c r="B33" s="10" t="s">
        <v>2152</v>
      </c>
      <c r="C33" s="11" t="s">
        <v>2164</v>
      </c>
      <c r="D33" s="12">
        <v>44161</v>
      </c>
      <c r="E33" s="12">
        <v>44161</v>
      </c>
      <c r="F33" s="13">
        <v>1234000</v>
      </c>
      <c r="G33" s="14">
        <v>0</v>
      </c>
      <c r="H33" s="9" t="s">
        <v>2153</v>
      </c>
      <c r="I33" s="15">
        <v>90090793</v>
      </c>
      <c r="J33" s="16" t="s">
        <v>75</v>
      </c>
      <c r="K33" s="17">
        <v>617</v>
      </c>
      <c r="L33" s="18" t="s">
        <v>21</v>
      </c>
      <c r="M33" s="19">
        <v>2000</v>
      </c>
      <c r="N33" s="19">
        <v>0</v>
      </c>
      <c r="O33" s="19">
        <f t="shared" si="1"/>
        <v>1234000</v>
      </c>
      <c r="P33" s="17" t="s">
        <v>75</v>
      </c>
    </row>
  </sheetData>
  <dataValidations count="14">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 F6 F8:F10 F17:F18 F26:F27 F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7 A5:A6 A8:A18 A23:A24 A31:A3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6 I3 I8">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6 H8:H10 H16:H18 H24 H26 H3 H28 H31:H3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6:D27 D6 D8:D10 D17:D18 D31:D32">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6:E10 E17:E18 E26:E27 A2 A30:B30 D30:I30 E3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6:B27 B6 B8:B10 B17:B18 B31:B32">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7">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6 I9:I10 I16:I18 I24 I28 I31:I32">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5 G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15:B16 B33">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19:E22 D25:E25 D16:E16 D28:E28 E32 D33:E3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28 F16 F32:F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32">
      <formula1>0</formula1>
      <formula2>390</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sqref="A1:P2"/>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558</v>
      </c>
      <c r="B2" s="10" t="s">
        <v>611</v>
      </c>
      <c r="C2" s="28" t="s">
        <v>1790</v>
      </c>
      <c r="D2" s="12">
        <v>44019</v>
      </c>
      <c r="E2" s="12">
        <v>44019</v>
      </c>
      <c r="F2" s="13">
        <v>17229514</v>
      </c>
      <c r="G2" s="14">
        <v>0</v>
      </c>
      <c r="H2" s="9" t="s">
        <v>612</v>
      </c>
      <c r="I2" s="15">
        <v>901082049</v>
      </c>
      <c r="J2" s="16" t="s">
        <v>613</v>
      </c>
      <c r="K2" s="17">
        <v>1</v>
      </c>
      <c r="L2" s="18" t="s">
        <v>21</v>
      </c>
      <c r="M2" s="19">
        <v>17229514</v>
      </c>
      <c r="N2" s="19">
        <v>0</v>
      </c>
      <c r="O2" s="19">
        <f t="shared" ref="O2" si="0">K2*(M2+N2)</f>
        <v>17229514</v>
      </c>
      <c r="P2" s="17" t="s">
        <v>613</v>
      </c>
    </row>
  </sheetData>
  <dataValidations count="5">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2">
      <formula1>-9223372036854770000</formula1>
      <formula2>9223372036854770000</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sqref="A1:P5"/>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128</v>
      </c>
      <c r="C2" s="11" t="s">
        <v>126</v>
      </c>
      <c r="D2" s="12">
        <v>44189</v>
      </c>
      <c r="E2" s="12">
        <v>44554</v>
      </c>
      <c r="F2" s="26">
        <v>247407247.5</v>
      </c>
      <c r="G2" s="27">
        <v>0</v>
      </c>
      <c r="H2" s="9" t="s">
        <v>129</v>
      </c>
      <c r="I2" s="15">
        <v>830110570</v>
      </c>
      <c r="J2" s="16" t="s">
        <v>1847</v>
      </c>
      <c r="K2" s="17">
        <v>105</v>
      </c>
      <c r="L2" s="18" t="s">
        <v>21</v>
      </c>
      <c r="M2" s="19">
        <f>1979900+150</f>
        <v>1980050</v>
      </c>
      <c r="N2" s="19">
        <f t="shared" ref="N2:N3" si="0">M2*0.19</f>
        <v>376209.5</v>
      </c>
      <c r="O2" s="19">
        <f t="shared" ref="O2:O5" si="1">K2*(M2+N2)</f>
        <v>247407247.5</v>
      </c>
      <c r="P2" s="17" t="s">
        <v>215</v>
      </c>
    </row>
    <row r="3" spans="1:16" x14ac:dyDescent="0.3">
      <c r="A3" s="9" t="s">
        <v>196</v>
      </c>
      <c r="B3" s="10" t="s">
        <v>211</v>
      </c>
      <c r="C3" s="11" t="s">
        <v>212</v>
      </c>
      <c r="D3" s="12">
        <v>43924</v>
      </c>
      <c r="E3" s="12">
        <v>43927</v>
      </c>
      <c r="F3" s="13">
        <v>298166400</v>
      </c>
      <c r="G3" s="14">
        <v>0</v>
      </c>
      <c r="H3" s="9" t="s">
        <v>213</v>
      </c>
      <c r="I3" s="15">
        <v>900594755</v>
      </c>
      <c r="J3" s="16" t="s">
        <v>214</v>
      </c>
      <c r="K3" s="17">
        <v>58</v>
      </c>
      <c r="L3" s="18" t="s">
        <v>21</v>
      </c>
      <c r="M3" s="19">
        <v>2980000</v>
      </c>
      <c r="N3" s="19">
        <f t="shared" si="0"/>
        <v>566200</v>
      </c>
      <c r="O3" s="19">
        <f t="shared" si="1"/>
        <v>205679600</v>
      </c>
      <c r="P3" s="17" t="s">
        <v>215</v>
      </c>
    </row>
    <row r="4" spans="1:16" x14ac:dyDescent="0.3">
      <c r="A4" s="9" t="s">
        <v>1291</v>
      </c>
      <c r="B4" s="10">
        <v>62501</v>
      </c>
      <c r="C4" s="11" t="s">
        <v>2233</v>
      </c>
      <c r="D4" s="12">
        <v>44187</v>
      </c>
      <c r="E4" s="12">
        <v>44187</v>
      </c>
      <c r="F4" s="13">
        <v>76952778</v>
      </c>
      <c r="G4" s="14">
        <v>0</v>
      </c>
      <c r="H4" s="9" t="s">
        <v>2234</v>
      </c>
      <c r="I4" s="15">
        <v>830110570</v>
      </c>
      <c r="J4" s="16" t="s">
        <v>2233</v>
      </c>
      <c r="K4" s="17">
        <v>30</v>
      </c>
      <c r="L4" s="18" t="s">
        <v>21</v>
      </c>
      <c r="M4" s="19">
        <v>2155540</v>
      </c>
      <c r="N4" s="19">
        <v>409552.6</v>
      </c>
      <c r="O4" s="19">
        <f t="shared" si="1"/>
        <v>76952778</v>
      </c>
      <c r="P4" s="17" t="s">
        <v>215</v>
      </c>
    </row>
    <row r="5" spans="1:16" x14ac:dyDescent="0.3">
      <c r="A5" s="9" t="s">
        <v>1472</v>
      </c>
      <c r="B5" s="10" t="s">
        <v>1481</v>
      </c>
      <c r="C5" s="11" t="s">
        <v>1482</v>
      </c>
      <c r="D5" s="12">
        <v>43917</v>
      </c>
      <c r="E5" s="12">
        <v>43917</v>
      </c>
      <c r="F5" s="13">
        <v>56500000</v>
      </c>
      <c r="G5" s="14">
        <v>0</v>
      </c>
      <c r="H5" s="9" t="s">
        <v>1483</v>
      </c>
      <c r="I5" s="15">
        <v>92640352</v>
      </c>
      <c r="J5" s="16" t="s">
        <v>1484</v>
      </c>
      <c r="K5" s="17">
        <v>30</v>
      </c>
      <c r="L5" s="18" t="s">
        <v>21</v>
      </c>
      <c r="M5" s="19">
        <v>1685000</v>
      </c>
      <c r="N5" s="19">
        <v>0</v>
      </c>
      <c r="O5" s="19">
        <f t="shared" si="1"/>
        <v>50550000</v>
      </c>
      <c r="P5" s="17" t="s">
        <v>215</v>
      </c>
    </row>
  </sheetData>
  <dataValidations count="11">
    <dataValidation type="date" allowBlank="1" showInputMessage="1" errorTitle="Entrada no válida" error="Por favor escriba una fecha válida (AAAA/MM/DD)" promptTitle="Ingrese una fecha (AAAA/MM/DD)" prompt=" Registre la fecha en la cual se SUSCRIBIÓ el contrato  (Formato AAAA/MM/DD)." sqref="D3 D5">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 E3 E5">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 F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4:A5">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3">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H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 B5">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4:I5">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4:E4">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4">
      <formula1>-9223372036854770000</formula1>
      <formula2>9223372036854770000</formula2>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sqref="A1:P3"/>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1472</v>
      </c>
      <c r="B2" s="10" t="s">
        <v>1491</v>
      </c>
      <c r="C2" s="11" t="s">
        <v>1492</v>
      </c>
      <c r="D2" s="12">
        <v>43977</v>
      </c>
      <c r="E2" s="12">
        <v>43978</v>
      </c>
      <c r="F2" s="13">
        <v>3800000</v>
      </c>
      <c r="G2" s="14">
        <v>0</v>
      </c>
      <c r="H2" s="9" t="s">
        <v>1493</v>
      </c>
      <c r="I2" s="15">
        <v>52516254</v>
      </c>
      <c r="J2" s="16" t="s">
        <v>1494</v>
      </c>
      <c r="K2" s="17">
        <v>1</v>
      </c>
      <c r="L2" s="18" t="s">
        <v>21</v>
      </c>
      <c r="M2" s="19">
        <v>3800000</v>
      </c>
      <c r="N2" s="19">
        <v>0</v>
      </c>
      <c r="O2" s="19">
        <f t="shared" ref="O2:O3" si="0">K2*(M2+N2)</f>
        <v>3800000</v>
      </c>
      <c r="P2" s="17" t="s">
        <v>1495</v>
      </c>
    </row>
    <row r="3" spans="1:16" x14ac:dyDescent="0.3">
      <c r="A3" s="9" t="s">
        <v>1472</v>
      </c>
      <c r="B3" s="10" t="s">
        <v>1514</v>
      </c>
      <c r="C3" s="11" t="s">
        <v>1492</v>
      </c>
      <c r="D3" s="12">
        <v>44001</v>
      </c>
      <c r="E3" s="12">
        <v>43978</v>
      </c>
      <c r="F3" s="13">
        <v>0</v>
      </c>
      <c r="G3" s="14">
        <v>2700000</v>
      </c>
      <c r="H3" s="9" t="s">
        <v>1493</v>
      </c>
      <c r="I3" s="15">
        <v>52516254</v>
      </c>
      <c r="J3" s="16" t="s">
        <v>1494</v>
      </c>
      <c r="K3" s="17">
        <v>1</v>
      </c>
      <c r="L3" s="18" t="s">
        <v>21</v>
      </c>
      <c r="M3" s="19">
        <v>2700000</v>
      </c>
      <c r="N3" s="19">
        <v>0</v>
      </c>
      <c r="O3" s="19">
        <f t="shared" si="0"/>
        <v>2700000</v>
      </c>
      <c r="P3" s="17" t="s">
        <v>1495</v>
      </c>
    </row>
  </sheetData>
  <dataValidations count="7">
    <dataValidation type="date" allowBlank="1" showInputMessage="1" errorTitle="Entrada no válida" error="Por favor escriba una fecha válida (AAAA/MM/DD)" promptTitle="Ingrese una fecha (AAAA/MM/DD)" prompt=" Registre la fecha en la cual se SUSCRIBIÓ el contrato  (Formato AAAA/MM/DD)." sqref="D2:D3">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E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F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3">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3">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2">
      <formula1>-9223372036854770000</formula1>
      <formula2>9223372036854770000</formula2>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sqref="A1:P2"/>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1291</v>
      </c>
      <c r="B2" s="10" t="s">
        <v>2298</v>
      </c>
      <c r="C2" s="11" t="s">
        <v>2299</v>
      </c>
      <c r="D2" s="12">
        <v>44188</v>
      </c>
      <c r="E2" s="12">
        <v>44188</v>
      </c>
      <c r="F2" s="13">
        <f>6038250*7</f>
        <v>42267750</v>
      </c>
      <c r="G2" s="14">
        <v>6038250</v>
      </c>
      <c r="H2" s="9" t="s">
        <v>2300</v>
      </c>
      <c r="I2" s="15">
        <v>811044610</v>
      </c>
      <c r="J2" s="16" t="s">
        <v>2311</v>
      </c>
      <c r="K2" s="17">
        <v>8</v>
      </c>
      <c r="L2" s="18" t="s">
        <v>21</v>
      </c>
      <c r="M2" s="19">
        <v>6038250</v>
      </c>
      <c r="N2" s="19">
        <v>0</v>
      </c>
      <c r="O2" s="19">
        <f>K2*(M2+N2)</f>
        <v>48306000</v>
      </c>
      <c r="P2" s="17" t="s">
        <v>2301</v>
      </c>
    </row>
  </sheetData>
  <dataValidations count="1">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workbookViewId="0">
      <selection sqref="A1:P11"/>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861</v>
      </c>
      <c r="B2" s="10" t="s">
        <v>862</v>
      </c>
      <c r="C2" s="11" t="s">
        <v>863</v>
      </c>
      <c r="D2" s="12" t="s">
        <v>864</v>
      </c>
      <c r="E2" s="12" t="s">
        <v>864</v>
      </c>
      <c r="F2" s="13">
        <v>21078782</v>
      </c>
      <c r="G2" s="14">
        <v>0</v>
      </c>
      <c r="H2" s="9" t="s">
        <v>865</v>
      </c>
      <c r="I2" s="15">
        <v>900406714</v>
      </c>
      <c r="J2" s="16" t="s">
        <v>874</v>
      </c>
      <c r="K2" s="17">
        <v>20</v>
      </c>
      <c r="L2" s="18" t="s">
        <v>36</v>
      </c>
      <c r="M2" s="19">
        <v>12653.846000000001</v>
      </c>
      <c r="N2" s="19">
        <f t="shared" ref="N2" si="0">M2*0.19</f>
        <v>2404.2307400000004</v>
      </c>
      <c r="O2" s="19">
        <f t="shared" ref="O2:O11" si="1">K2*(M2+N2)</f>
        <v>301161.53480000002</v>
      </c>
      <c r="P2" s="17" t="s">
        <v>875</v>
      </c>
    </row>
    <row r="3" spans="1:16" x14ac:dyDescent="0.3">
      <c r="A3" s="9" t="s">
        <v>1006</v>
      </c>
      <c r="B3" s="10" t="s">
        <v>1019</v>
      </c>
      <c r="C3" s="11" t="s">
        <v>1008</v>
      </c>
      <c r="D3" s="12">
        <v>43920</v>
      </c>
      <c r="E3" s="12">
        <v>43922</v>
      </c>
      <c r="F3" s="13">
        <v>26949480</v>
      </c>
      <c r="G3" s="14">
        <v>0</v>
      </c>
      <c r="H3" s="9" t="s">
        <v>1020</v>
      </c>
      <c r="I3" s="15">
        <v>900916649</v>
      </c>
      <c r="J3" s="16" t="s">
        <v>1882</v>
      </c>
      <c r="K3" s="17">
        <v>400</v>
      </c>
      <c r="L3" s="18" t="s">
        <v>36</v>
      </c>
      <c r="M3" s="19">
        <v>47500</v>
      </c>
      <c r="N3" s="19">
        <v>0</v>
      </c>
      <c r="O3" s="19">
        <f t="shared" si="1"/>
        <v>19000000</v>
      </c>
      <c r="P3" s="17" t="s">
        <v>875</v>
      </c>
    </row>
    <row r="4" spans="1:16" x14ac:dyDescent="0.3">
      <c r="A4" s="9" t="s">
        <v>1006</v>
      </c>
      <c r="B4" s="10" t="s">
        <v>1031</v>
      </c>
      <c r="C4" s="11" t="s">
        <v>1029</v>
      </c>
      <c r="D4" s="12">
        <v>43979</v>
      </c>
      <c r="E4" s="12">
        <v>43985</v>
      </c>
      <c r="F4" s="13">
        <v>87642600</v>
      </c>
      <c r="G4" s="14">
        <v>0</v>
      </c>
      <c r="H4" s="9" t="s">
        <v>1027</v>
      </c>
      <c r="I4" s="15">
        <v>900347045</v>
      </c>
      <c r="J4" s="16" t="s">
        <v>1898</v>
      </c>
      <c r="K4" s="17">
        <v>1080</v>
      </c>
      <c r="L4" s="18" t="s">
        <v>36</v>
      </c>
      <c r="M4" s="19">
        <v>17995</v>
      </c>
      <c r="N4" s="19">
        <v>0</v>
      </c>
      <c r="O4" s="19">
        <f t="shared" si="1"/>
        <v>19434600</v>
      </c>
      <c r="P4" s="17" t="s">
        <v>875</v>
      </c>
    </row>
    <row r="5" spans="1:16" x14ac:dyDescent="0.3">
      <c r="A5" s="9" t="s">
        <v>1006</v>
      </c>
      <c r="B5" s="10" t="s">
        <v>1971</v>
      </c>
      <c r="C5" s="11" t="s">
        <v>1029</v>
      </c>
      <c r="D5" s="12">
        <v>44180</v>
      </c>
      <c r="E5" s="12">
        <v>44180</v>
      </c>
      <c r="F5" s="14">
        <v>11745300</v>
      </c>
      <c r="G5" s="14">
        <v>0</v>
      </c>
      <c r="H5" s="9" t="s">
        <v>1421</v>
      </c>
      <c r="I5" s="15">
        <v>901110477</v>
      </c>
      <c r="J5" s="16" t="s">
        <v>1972</v>
      </c>
      <c r="K5" s="17">
        <f>(4700*750)/1000</f>
        <v>3525</v>
      </c>
      <c r="L5" s="18" t="s">
        <v>36</v>
      </c>
      <c r="M5" s="19">
        <f>(2499*1000)/750</f>
        <v>3332</v>
      </c>
      <c r="N5" s="19">
        <v>0</v>
      </c>
      <c r="O5" s="19">
        <f t="shared" si="1"/>
        <v>11745300</v>
      </c>
      <c r="P5" s="17" t="s">
        <v>875</v>
      </c>
    </row>
    <row r="6" spans="1:16" x14ac:dyDescent="0.3">
      <c r="A6" s="9" t="s">
        <v>1291</v>
      </c>
      <c r="B6" s="10">
        <v>62140</v>
      </c>
      <c r="C6" s="11" t="s">
        <v>2214</v>
      </c>
      <c r="D6" s="12">
        <v>44182</v>
      </c>
      <c r="E6" s="12">
        <v>44182</v>
      </c>
      <c r="F6" s="13">
        <v>5078000</v>
      </c>
      <c r="G6" s="14">
        <v>0</v>
      </c>
      <c r="H6" s="9" t="s">
        <v>1421</v>
      </c>
      <c r="I6" s="15">
        <v>901104771</v>
      </c>
      <c r="J6" s="16" t="s">
        <v>2215</v>
      </c>
      <c r="K6" s="17">
        <v>2000</v>
      </c>
      <c r="L6" s="18" t="s">
        <v>36</v>
      </c>
      <c r="M6" s="19">
        <v>2539</v>
      </c>
      <c r="N6" s="19">
        <v>0</v>
      </c>
      <c r="O6" s="19">
        <f t="shared" si="1"/>
        <v>5078000</v>
      </c>
      <c r="P6" s="17" t="s">
        <v>875</v>
      </c>
    </row>
    <row r="7" spans="1:16" x14ac:dyDescent="0.3">
      <c r="A7" s="9" t="s">
        <v>1306</v>
      </c>
      <c r="B7" s="10" t="s">
        <v>1419</v>
      </c>
      <c r="C7" s="11" t="s">
        <v>1420</v>
      </c>
      <c r="D7" s="12">
        <v>44179</v>
      </c>
      <c r="E7" s="12">
        <v>44179</v>
      </c>
      <c r="F7" s="13">
        <v>2969000</v>
      </c>
      <c r="G7" s="14">
        <v>0</v>
      </c>
      <c r="H7" s="9" t="s">
        <v>1421</v>
      </c>
      <c r="I7" s="15" t="s">
        <v>1422</v>
      </c>
      <c r="J7" s="16" t="s">
        <v>1928</v>
      </c>
      <c r="K7" s="17">
        <v>1000</v>
      </c>
      <c r="L7" s="18" t="s">
        <v>36</v>
      </c>
      <c r="M7" s="19">
        <v>2599</v>
      </c>
      <c r="N7" s="19">
        <v>0</v>
      </c>
      <c r="O7" s="19">
        <f t="shared" si="1"/>
        <v>2599000</v>
      </c>
      <c r="P7" s="17" t="s">
        <v>875</v>
      </c>
    </row>
    <row r="8" spans="1:16" x14ac:dyDescent="0.3">
      <c r="A8" s="9" t="s">
        <v>1437</v>
      </c>
      <c r="B8" s="10" t="s">
        <v>2070</v>
      </c>
      <c r="C8" s="11" t="s">
        <v>1438</v>
      </c>
      <c r="D8" s="12">
        <v>43477</v>
      </c>
      <c r="E8" s="12">
        <v>43800</v>
      </c>
      <c r="F8" s="13">
        <v>0</v>
      </c>
      <c r="G8" s="14">
        <v>67434392</v>
      </c>
      <c r="H8" s="9" t="s">
        <v>1439</v>
      </c>
      <c r="I8" s="15">
        <v>811044253</v>
      </c>
      <c r="J8" s="16" t="s">
        <v>1447</v>
      </c>
      <c r="K8" s="17">
        <v>150</v>
      </c>
      <c r="L8" s="18" t="s">
        <v>36</v>
      </c>
      <c r="M8" s="19">
        <v>77000</v>
      </c>
      <c r="N8" s="19">
        <v>0</v>
      </c>
      <c r="O8" s="19">
        <f t="shared" si="1"/>
        <v>11550000</v>
      </c>
      <c r="P8" s="17" t="s">
        <v>875</v>
      </c>
    </row>
    <row r="9" spans="1:16" x14ac:dyDescent="0.3">
      <c r="A9" s="9" t="s">
        <v>1472</v>
      </c>
      <c r="B9" s="10" t="s">
        <v>1534</v>
      </c>
      <c r="C9" s="11" t="s">
        <v>1529</v>
      </c>
      <c r="D9" s="12">
        <v>43979</v>
      </c>
      <c r="E9" s="12">
        <v>43979</v>
      </c>
      <c r="F9" s="13">
        <v>2297873</v>
      </c>
      <c r="G9" s="14">
        <v>0</v>
      </c>
      <c r="H9" s="9" t="s">
        <v>1421</v>
      </c>
      <c r="I9" s="15">
        <v>901104771</v>
      </c>
      <c r="J9" s="16" t="s">
        <v>1938</v>
      </c>
      <c r="K9" s="17">
        <v>757</v>
      </c>
      <c r="L9" s="18" t="s">
        <v>36</v>
      </c>
      <c r="M9" s="19">
        <v>2614</v>
      </c>
      <c r="N9" s="19">
        <v>0</v>
      </c>
      <c r="O9" s="19">
        <f t="shared" si="1"/>
        <v>1978798</v>
      </c>
      <c r="P9" s="17" t="s">
        <v>875</v>
      </c>
    </row>
    <row r="10" spans="1:16" x14ac:dyDescent="0.3">
      <c r="A10" s="9" t="s">
        <v>1472</v>
      </c>
      <c r="B10" s="10" t="s">
        <v>1561</v>
      </c>
      <c r="C10" s="11" t="s">
        <v>1562</v>
      </c>
      <c r="D10" s="12">
        <v>43770</v>
      </c>
      <c r="E10" s="12">
        <v>43936</v>
      </c>
      <c r="F10" s="13">
        <v>0</v>
      </c>
      <c r="G10" s="14">
        <v>31068000</v>
      </c>
      <c r="H10" s="9" t="s">
        <v>1563</v>
      </c>
      <c r="I10" s="15">
        <v>812000152</v>
      </c>
      <c r="J10" s="16" t="s">
        <v>1569</v>
      </c>
      <c r="K10" s="17">
        <v>100</v>
      </c>
      <c r="L10" s="18" t="s">
        <v>21</v>
      </c>
      <c r="M10" s="19">
        <v>4200</v>
      </c>
      <c r="N10" s="19">
        <v>0</v>
      </c>
      <c r="O10" s="19">
        <f t="shared" si="1"/>
        <v>420000</v>
      </c>
      <c r="P10" s="17" t="s">
        <v>875</v>
      </c>
    </row>
    <row r="11" spans="1:16" x14ac:dyDescent="0.3">
      <c r="A11" s="9" t="s">
        <v>1629</v>
      </c>
      <c r="B11" s="10" t="s">
        <v>1655</v>
      </c>
      <c r="C11" s="11" t="s">
        <v>1656</v>
      </c>
      <c r="D11" s="12">
        <v>43965</v>
      </c>
      <c r="E11" s="12">
        <v>43965</v>
      </c>
      <c r="F11" s="13">
        <v>11910547.07</v>
      </c>
      <c r="G11" s="14">
        <v>0</v>
      </c>
      <c r="H11" s="9" t="s">
        <v>359</v>
      </c>
      <c r="I11" s="15">
        <v>90070405</v>
      </c>
      <c r="J11" s="16" t="s">
        <v>1657</v>
      </c>
      <c r="K11" s="17">
        <v>2316</v>
      </c>
      <c r="L11" s="18" t="s">
        <v>36</v>
      </c>
      <c r="M11" s="19">
        <v>2588.2824999999998</v>
      </c>
      <c r="N11" s="19">
        <v>0</v>
      </c>
      <c r="O11" s="19">
        <f t="shared" si="1"/>
        <v>5994462.2699999996</v>
      </c>
      <c r="P11" s="17" t="s">
        <v>875</v>
      </c>
    </row>
  </sheetData>
  <dataValidations count="10">
    <dataValidation type="date" allowBlank="1" showInputMessage="1" errorTitle="Entrada no válida" error="Por favor escriba una fecha válida (AAAA/MM/DD)" promptTitle="Ingrese una fecha (AAAA/MM/DD)" prompt=" Registre la fecha en la cual se SUSCRIBIÓ el contrato  (Formato AAAA/MM/DD)." sqref="D2:D3 D9">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E3 E9 A11:B11 D11:I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F3 F8:F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6 A2 A9">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I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H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3 B9">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4:E5 D8:E8">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4 F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4">
      <formula1>0</formula1>
      <formula2>390</formula2>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P14"/>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116</v>
      </c>
      <c r="C2" s="11" t="s">
        <v>117</v>
      </c>
      <c r="D2" s="12">
        <v>44113</v>
      </c>
      <c r="E2" s="12">
        <v>44113</v>
      </c>
      <c r="F2" s="26">
        <v>86384200</v>
      </c>
      <c r="G2" s="27">
        <v>0</v>
      </c>
      <c r="H2" s="9" t="s">
        <v>106</v>
      </c>
      <c r="I2" s="15">
        <v>830053669</v>
      </c>
      <c r="J2" s="16" t="s">
        <v>120</v>
      </c>
      <c r="K2" s="17">
        <v>248</v>
      </c>
      <c r="L2" s="18" t="s">
        <v>21</v>
      </c>
      <c r="M2" s="19">
        <v>172000</v>
      </c>
      <c r="N2" s="19">
        <f t="shared" ref="N2:N9" si="0">M2*0.19</f>
        <v>32680</v>
      </c>
      <c r="O2" s="19">
        <f t="shared" ref="O2:O14" si="1">K2*(M2+N2)</f>
        <v>50760640</v>
      </c>
      <c r="P2" s="16" t="s">
        <v>120</v>
      </c>
    </row>
    <row r="3" spans="1:16" x14ac:dyDescent="0.3">
      <c r="A3" s="9" t="s">
        <v>284</v>
      </c>
      <c r="B3" s="10" t="s">
        <v>289</v>
      </c>
      <c r="C3" s="11" t="s">
        <v>290</v>
      </c>
      <c r="D3" s="12">
        <v>43917</v>
      </c>
      <c r="E3" s="12">
        <v>43917</v>
      </c>
      <c r="F3" s="13">
        <v>11284977</v>
      </c>
      <c r="G3" s="14">
        <v>0</v>
      </c>
      <c r="H3" s="9" t="s">
        <v>291</v>
      </c>
      <c r="I3" s="15">
        <v>1095815252</v>
      </c>
      <c r="J3" s="16" t="s">
        <v>293</v>
      </c>
      <c r="K3" s="17">
        <v>37</v>
      </c>
      <c r="L3" s="18" t="s">
        <v>21</v>
      </c>
      <c r="M3" s="19">
        <v>117647</v>
      </c>
      <c r="N3" s="19">
        <f t="shared" si="0"/>
        <v>22352.93</v>
      </c>
      <c r="O3" s="19">
        <f t="shared" si="1"/>
        <v>5179997.41</v>
      </c>
      <c r="P3" s="17" t="s">
        <v>120</v>
      </c>
    </row>
    <row r="4" spans="1:16" x14ac:dyDescent="0.3">
      <c r="A4" s="9" t="s">
        <v>284</v>
      </c>
      <c r="B4" s="10" t="s">
        <v>392</v>
      </c>
      <c r="C4" s="11" t="s">
        <v>1782</v>
      </c>
      <c r="D4" s="12">
        <v>44175</v>
      </c>
      <c r="E4" s="12">
        <v>44175</v>
      </c>
      <c r="F4" s="13">
        <v>95397557</v>
      </c>
      <c r="G4" s="14">
        <v>0</v>
      </c>
      <c r="H4" s="9" t="s">
        <v>393</v>
      </c>
      <c r="I4" s="15">
        <v>900584757</v>
      </c>
      <c r="J4" s="16" t="s">
        <v>120</v>
      </c>
      <c r="K4" s="17">
        <v>100</v>
      </c>
      <c r="L4" s="18" t="s">
        <v>21</v>
      </c>
      <c r="M4" s="19">
        <v>178166.54</v>
      </c>
      <c r="N4" s="19">
        <f t="shared" si="0"/>
        <v>33851.642599999999</v>
      </c>
      <c r="O4" s="19">
        <f t="shared" si="1"/>
        <v>21201818.260000002</v>
      </c>
      <c r="P4" s="17" t="s">
        <v>120</v>
      </c>
    </row>
    <row r="5" spans="1:16" x14ac:dyDescent="0.3">
      <c r="A5" s="9" t="s">
        <v>558</v>
      </c>
      <c r="B5" s="10" t="s">
        <v>614</v>
      </c>
      <c r="C5" s="28" t="s">
        <v>1791</v>
      </c>
      <c r="D5" s="12">
        <v>44020</v>
      </c>
      <c r="E5" s="12">
        <v>44022</v>
      </c>
      <c r="F5" s="13">
        <v>18314100</v>
      </c>
      <c r="G5" s="14">
        <v>3301060</v>
      </c>
      <c r="H5" s="9" t="s">
        <v>615</v>
      </c>
      <c r="I5" s="15">
        <v>9003340370</v>
      </c>
      <c r="J5" s="16" t="s">
        <v>120</v>
      </c>
      <c r="K5" s="17">
        <v>90</v>
      </c>
      <c r="L5" s="18" t="s">
        <v>21</v>
      </c>
      <c r="M5" s="19">
        <v>38000</v>
      </c>
      <c r="N5" s="19">
        <f t="shared" si="0"/>
        <v>7220</v>
      </c>
      <c r="O5" s="19">
        <f t="shared" si="1"/>
        <v>4069800</v>
      </c>
      <c r="P5" s="17" t="s">
        <v>120</v>
      </c>
    </row>
    <row r="6" spans="1:16" x14ac:dyDescent="0.3">
      <c r="A6" s="9" t="s">
        <v>558</v>
      </c>
      <c r="B6" s="10" t="s">
        <v>2020</v>
      </c>
      <c r="C6" s="28" t="s">
        <v>635</v>
      </c>
      <c r="D6" s="12">
        <v>44123</v>
      </c>
      <c r="E6" s="12">
        <v>44123</v>
      </c>
      <c r="F6" s="13">
        <v>110694600</v>
      </c>
      <c r="G6" s="14">
        <v>0</v>
      </c>
      <c r="H6" s="9" t="s">
        <v>106</v>
      </c>
      <c r="I6" s="15">
        <v>900564459</v>
      </c>
      <c r="J6" t="s">
        <v>636</v>
      </c>
      <c r="K6" s="17">
        <v>320</v>
      </c>
      <c r="L6" s="18" t="s">
        <v>21</v>
      </c>
      <c r="M6" s="19">
        <v>172000</v>
      </c>
      <c r="N6" s="19">
        <f t="shared" si="0"/>
        <v>32680</v>
      </c>
      <c r="O6" s="19">
        <f t="shared" si="1"/>
        <v>65497600</v>
      </c>
      <c r="P6" s="17" t="s">
        <v>120</v>
      </c>
    </row>
    <row r="7" spans="1:16" x14ac:dyDescent="0.3">
      <c r="A7" s="33" t="s">
        <v>690</v>
      </c>
      <c r="B7" s="33" t="s">
        <v>786</v>
      </c>
      <c r="C7" s="33" t="s">
        <v>1800</v>
      </c>
      <c r="D7" s="34">
        <v>44069</v>
      </c>
      <c r="E7" s="34">
        <v>44070</v>
      </c>
      <c r="F7" s="35">
        <v>145876000</v>
      </c>
      <c r="G7" s="14">
        <v>0</v>
      </c>
      <c r="H7" s="33" t="s">
        <v>106</v>
      </c>
      <c r="I7" s="36">
        <v>900564459</v>
      </c>
      <c r="J7" s="33" t="s">
        <v>1863</v>
      </c>
      <c r="K7" s="17">
        <v>400</v>
      </c>
      <c r="L7" s="37" t="s">
        <v>21</v>
      </c>
      <c r="M7" s="19">
        <v>146000</v>
      </c>
      <c r="N7" s="19">
        <f t="shared" si="0"/>
        <v>27740</v>
      </c>
      <c r="O7" s="19">
        <f t="shared" si="1"/>
        <v>69496000</v>
      </c>
      <c r="P7" s="17" t="s">
        <v>120</v>
      </c>
    </row>
    <row r="8" spans="1:16" x14ac:dyDescent="0.3">
      <c r="A8" s="9" t="s">
        <v>861</v>
      </c>
      <c r="B8" s="10" t="s">
        <v>939</v>
      </c>
      <c r="C8" s="11" t="s">
        <v>940</v>
      </c>
      <c r="D8" s="12">
        <v>43980</v>
      </c>
      <c r="E8" s="12">
        <v>43980</v>
      </c>
      <c r="F8" s="13">
        <v>64800000</v>
      </c>
      <c r="G8" s="14">
        <v>0</v>
      </c>
      <c r="H8" s="9" t="s">
        <v>941</v>
      </c>
      <c r="I8" s="15">
        <v>901315614</v>
      </c>
      <c r="J8" s="16" t="s">
        <v>942</v>
      </c>
      <c r="K8" s="17">
        <v>160</v>
      </c>
      <c r="L8" s="18" t="s">
        <v>21</v>
      </c>
      <c r="M8" s="19">
        <v>176470.59</v>
      </c>
      <c r="N8" s="19">
        <f t="shared" si="0"/>
        <v>33529.412100000001</v>
      </c>
      <c r="O8" s="19">
        <f t="shared" si="1"/>
        <v>33600000.335999995</v>
      </c>
      <c r="P8" s="17" t="s">
        <v>120</v>
      </c>
    </row>
    <row r="9" spans="1:16" x14ac:dyDescent="0.3">
      <c r="A9" s="9" t="s">
        <v>1291</v>
      </c>
      <c r="B9" s="10" t="s">
        <v>1302</v>
      </c>
      <c r="C9" s="11" t="s">
        <v>1303</v>
      </c>
      <c r="D9" s="12">
        <v>43915</v>
      </c>
      <c r="E9" s="12">
        <v>43921</v>
      </c>
      <c r="F9" s="13">
        <v>55131040</v>
      </c>
      <c r="G9" s="14">
        <v>0</v>
      </c>
      <c r="H9" s="9" t="s">
        <v>1304</v>
      </c>
      <c r="I9" s="15">
        <v>900885138</v>
      </c>
      <c r="J9" s="16" t="s">
        <v>616</v>
      </c>
      <c r="K9" s="17">
        <v>235</v>
      </c>
      <c r="L9" s="18" t="s">
        <v>21</v>
      </c>
      <c r="M9" s="19">
        <f>63000/1.19</f>
        <v>52941.176470588238</v>
      </c>
      <c r="N9" s="19">
        <f t="shared" si="0"/>
        <v>10058.823529411766</v>
      </c>
      <c r="O9" s="19">
        <f t="shared" si="1"/>
        <v>14805000</v>
      </c>
      <c r="P9" s="17" t="s">
        <v>120</v>
      </c>
    </row>
    <row r="10" spans="1:16" x14ac:dyDescent="0.3">
      <c r="A10" s="9" t="s">
        <v>1291</v>
      </c>
      <c r="B10" s="10">
        <v>62670</v>
      </c>
      <c r="C10" s="11" t="s">
        <v>2235</v>
      </c>
      <c r="D10" s="12">
        <v>44188</v>
      </c>
      <c r="E10" s="12">
        <v>44188</v>
      </c>
      <c r="F10" s="13">
        <v>15803200</v>
      </c>
      <c r="G10" s="14">
        <v>0</v>
      </c>
      <c r="H10" s="9" t="s">
        <v>1401</v>
      </c>
      <c r="I10" s="15">
        <v>900584757</v>
      </c>
      <c r="J10" s="16" t="s">
        <v>2236</v>
      </c>
      <c r="K10" s="17">
        <v>83</v>
      </c>
      <c r="L10" s="18" t="s">
        <v>21</v>
      </c>
      <c r="M10" s="19">
        <v>160000</v>
      </c>
      <c r="N10" s="19">
        <f>+M10*19%</f>
        <v>30400</v>
      </c>
      <c r="O10" s="19">
        <f t="shared" si="1"/>
        <v>15803200</v>
      </c>
      <c r="P10" s="17" t="s">
        <v>120</v>
      </c>
    </row>
    <row r="11" spans="1:16" x14ac:dyDescent="0.3">
      <c r="A11" s="9" t="s">
        <v>1306</v>
      </c>
      <c r="B11" s="10" t="s">
        <v>1311</v>
      </c>
      <c r="C11" s="11" t="s">
        <v>1312</v>
      </c>
      <c r="D11" s="12">
        <v>43994</v>
      </c>
      <c r="E11" s="12">
        <v>43994</v>
      </c>
      <c r="F11" s="13">
        <v>45932000</v>
      </c>
      <c r="G11" s="14">
        <v>0</v>
      </c>
      <c r="H11" s="9" t="s">
        <v>1313</v>
      </c>
      <c r="I11" s="15">
        <v>1083893865</v>
      </c>
      <c r="J11" s="16" t="s">
        <v>1314</v>
      </c>
      <c r="K11" s="17">
        <v>119</v>
      </c>
      <c r="L11" s="18" t="s">
        <v>21</v>
      </c>
      <c r="M11" s="19">
        <v>124369.74789915967</v>
      </c>
      <c r="N11" s="19">
        <f t="shared" ref="N11:N14" si="2">M11*0.19</f>
        <v>23630.252100840338</v>
      </c>
      <c r="O11" s="19">
        <f t="shared" si="1"/>
        <v>17612000</v>
      </c>
      <c r="P11" s="17" t="s">
        <v>120</v>
      </c>
    </row>
    <row r="12" spans="1:16" x14ac:dyDescent="0.3">
      <c r="A12" s="9" t="s">
        <v>1306</v>
      </c>
      <c r="B12" s="10" t="s">
        <v>1403</v>
      </c>
      <c r="C12" s="11" t="s">
        <v>1404</v>
      </c>
      <c r="D12" s="12">
        <v>44104</v>
      </c>
      <c r="E12" s="12">
        <v>44104</v>
      </c>
      <c r="F12" s="13">
        <v>8707260</v>
      </c>
      <c r="G12" s="14">
        <v>0</v>
      </c>
      <c r="H12" s="9" t="s">
        <v>1395</v>
      </c>
      <c r="I12" s="15" t="s">
        <v>1396</v>
      </c>
      <c r="J12" s="16" t="s">
        <v>1921</v>
      </c>
      <c r="K12" s="17">
        <v>52</v>
      </c>
      <c r="L12" s="18" t="s">
        <v>21</v>
      </c>
      <c r="M12" s="19">
        <v>139500</v>
      </c>
      <c r="N12" s="19">
        <f t="shared" si="2"/>
        <v>26505</v>
      </c>
      <c r="O12" s="19">
        <f t="shared" si="1"/>
        <v>8632260</v>
      </c>
      <c r="P12" s="17" t="s">
        <v>120</v>
      </c>
    </row>
    <row r="13" spans="1:16" x14ac:dyDescent="0.3">
      <c r="A13" s="9" t="s">
        <v>1629</v>
      </c>
      <c r="B13" s="10" t="s">
        <v>2127</v>
      </c>
      <c r="C13" s="11" t="s">
        <v>1839</v>
      </c>
      <c r="D13" s="12">
        <v>44161</v>
      </c>
      <c r="E13" s="12">
        <v>44195</v>
      </c>
      <c r="F13" s="13">
        <v>43385416.270000003</v>
      </c>
      <c r="G13" s="14">
        <v>0</v>
      </c>
      <c r="H13" s="9" t="s">
        <v>376</v>
      </c>
      <c r="I13" s="15">
        <v>900584757</v>
      </c>
      <c r="J13" s="16" t="s">
        <v>1688</v>
      </c>
      <c r="K13" s="17">
        <v>100</v>
      </c>
      <c r="L13" s="18" t="s">
        <v>21</v>
      </c>
      <c r="M13" s="19">
        <f>364583.33/1.19</f>
        <v>306372.54621848743</v>
      </c>
      <c r="N13" s="19">
        <f t="shared" si="2"/>
        <v>58210.783781512611</v>
      </c>
      <c r="O13" s="19">
        <f t="shared" si="1"/>
        <v>36458333.000000007</v>
      </c>
      <c r="P13" s="17" t="s">
        <v>120</v>
      </c>
    </row>
    <row r="14" spans="1:16" x14ac:dyDescent="0.3">
      <c r="A14" s="9" t="s">
        <v>1629</v>
      </c>
      <c r="B14" s="10" t="s">
        <v>2128</v>
      </c>
      <c r="C14" s="11" t="s">
        <v>1840</v>
      </c>
      <c r="D14" s="12">
        <v>44161</v>
      </c>
      <c r="E14" s="12">
        <v>44195</v>
      </c>
      <c r="F14" s="13">
        <v>81217500</v>
      </c>
      <c r="G14" s="14">
        <v>0</v>
      </c>
      <c r="H14" s="9" t="s">
        <v>376</v>
      </c>
      <c r="I14" s="15">
        <v>900584757</v>
      </c>
      <c r="J14" s="16" t="s">
        <v>1688</v>
      </c>
      <c r="K14" s="17">
        <v>195</v>
      </c>
      <c r="L14" s="18" t="s">
        <v>21</v>
      </c>
      <c r="M14" s="19">
        <f>350000/1.19</f>
        <v>294117.64705882355</v>
      </c>
      <c r="N14" s="19">
        <f t="shared" si="2"/>
        <v>55882.352941176476</v>
      </c>
      <c r="O14" s="19">
        <f t="shared" si="1"/>
        <v>68250000</v>
      </c>
      <c r="P14" s="17" t="s">
        <v>120</v>
      </c>
    </row>
  </sheetData>
  <dataValidations count="12">
    <dataValidation type="date" allowBlank="1" showInputMessage="1" errorTitle="Entrada no válida" error="Por favor escriba una fecha válida (AAAA/MM/DD)" promptTitle="Ingrese una fecha (AAAA/MM/DD)" prompt=" Registre la fecha en la cual se SUSCRIBIÓ el contrato  (Formato AAAA/MM/DD)." sqref="D3:D4 D7">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 E7 E3:E5 G13:G14">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F4 F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A10">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I4 I6:I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B5 B7:B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4 H6:H8">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la orden (Formato AAAA/MM/DD)." sqref="D8:E8 D6:E6 D13:D14">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8:F9 F11:F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13:B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E13:E14">
      <formula1>-9223372036854770000</formula1>
      <formula2>9223372036854770000</formula2>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workbookViewId="0">
      <selection sqref="A1:P50"/>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79</v>
      </c>
      <c r="C2" s="11" t="s">
        <v>80</v>
      </c>
      <c r="D2" s="12">
        <v>44012</v>
      </c>
      <c r="E2" s="12">
        <v>44012</v>
      </c>
      <c r="F2" s="13">
        <v>11342250</v>
      </c>
      <c r="G2" s="14">
        <v>0</v>
      </c>
      <c r="H2" s="9" t="s">
        <v>63</v>
      </c>
      <c r="I2" s="15">
        <v>890900943</v>
      </c>
      <c r="J2" s="16" t="s">
        <v>81</v>
      </c>
      <c r="K2" s="17">
        <v>45</v>
      </c>
      <c r="L2" s="18" t="s">
        <v>21</v>
      </c>
      <c r="M2" s="19">
        <v>211806.72</v>
      </c>
      <c r="N2" s="19">
        <f t="shared" ref="N2" si="0">M2*0.19</f>
        <v>40243.2768</v>
      </c>
      <c r="O2" s="19">
        <f t="shared" ref="O2:O50" si="1">K2*(M2+N2)</f>
        <v>11342249.856000001</v>
      </c>
      <c r="P2" s="17" t="s">
        <v>82</v>
      </c>
    </row>
    <row r="3" spans="1:16" x14ac:dyDescent="0.3">
      <c r="A3" s="9" t="s">
        <v>196</v>
      </c>
      <c r="B3" s="10" t="s">
        <v>1987</v>
      </c>
      <c r="C3" s="11" t="s">
        <v>250</v>
      </c>
      <c r="D3" s="12">
        <v>44035</v>
      </c>
      <c r="E3" s="12">
        <v>44035</v>
      </c>
      <c r="F3" s="13">
        <v>30011800</v>
      </c>
      <c r="G3" s="14">
        <v>0</v>
      </c>
      <c r="H3" s="9" t="s">
        <v>251</v>
      </c>
      <c r="I3" s="15">
        <v>9001413756</v>
      </c>
      <c r="J3" s="16" t="s">
        <v>252</v>
      </c>
      <c r="K3" s="17">
        <v>388</v>
      </c>
      <c r="L3" s="18" t="s">
        <v>21</v>
      </c>
      <c r="M3" s="19">
        <v>65000</v>
      </c>
      <c r="N3" s="19">
        <f>M3*0.19</f>
        <v>12350</v>
      </c>
      <c r="O3" s="19">
        <f t="shared" si="1"/>
        <v>30011800</v>
      </c>
      <c r="P3" s="17" t="s">
        <v>82</v>
      </c>
    </row>
    <row r="4" spans="1:16" x14ac:dyDescent="0.3">
      <c r="A4" s="9" t="s">
        <v>196</v>
      </c>
      <c r="B4" s="10" t="s">
        <v>1996</v>
      </c>
      <c r="C4" s="11" t="s">
        <v>1763</v>
      </c>
      <c r="D4" s="12">
        <v>44105</v>
      </c>
      <c r="E4" s="12">
        <v>44105</v>
      </c>
      <c r="F4" s="13">
        <v>117963550</v>
      </c>
      <c r="G4" s="14">
        <v>0</v>
      </c>
      <c r="H4" s="9" t="s">
        <v>268</v>
      </c>
      <c r="I4" s="15">
        <v>900141375</v>
      </c>
      <c r="J4" s="16" t="s">
        <v>1763</v>
      </c>
      <c r="K4" s="17">
        <v>21300</v>
      </c>
      <c r="L4" s="18" t="s">
        <v>21</v>
      </c>
      <c r="M4" s="19">
        <v>4653.9452400678583</v>
      </c>
      <c r="N4" s="19">
        <f>M4*0.19</f>
        <v>884.24959561289313</v>
      </c>
      <c r="O4" s="19">
        <f t="shared" si="1"/>
        <v>117963550.00000001</v>
      </c>
      <c r="P4" s="17" t="s">
        <v>82</v>
      </c>
    </row>
    <row r="5" spans="1:16" x14ac:dyDescent="0.3">
      <c r="A5" s="9" t="s">
        <v>196</v>
      </c>
      <c r="B5" s="10" t="s">
        <v>2006</v>
      </c>
      <c r="C5" s="11" t="s">
        <v>1773</v>
      </c>
      <c r="D5" s="12">
        <v>44167</v>
      </c>
      <c r="E5" s="12">
        <v>44167</v>
      </c>
      <c r="F5" s="13">
        <v>240900000</v>
      </c>
      <c r="G5" s="14">
        <v>0</v>
      </c>
      <c r="H5" s="9" t="s">
        <v>268</v>
      </c>
      <c r="I5" s="15">
        <v>900141375</v>
      </c>
      <c r="J5" s="16" t="s">
        <v>276</v>
      </c>
      <c r="K5" s="17">
        <v>100000</v>
      </c>
      <c r="L5" s="18" t="s">
        <v>21</v>
      </c>
      <c r="M5" s="19">
        <v>2024.3697478991598</v>
      </c>
      <c r="N5" s="19">
        <f t="shared" ref="N5:N6" si="2">M5*0.19</f>
        <v>384.63025210084038</v>
      </c>
      <c r="O5" s="19">
        <f t="shared" si="1"/>
        <v>240900000</v>
      </c>
      <c r="P5" s="17" t="s">
        <v>82</v>
      </c>
    </row>
    <row r="6" spans="1:16" x14ac:dyDescent="0.3">
      <c r="A6" s="9" t="s">
        <v>284</v>
      </c>
      <c r="B6" s="10" t="s">
        <v>348</v>
      </c>
      <c r="C6" s="11" t="s">
        <v>349</v>
      </c>
      <c r="D6" s="12">
        <v>43977</v>
      </c>
      <c r="E6" s="12">
        <v>43977</v>
      </c>
      <c r="F6" s="13">
        <v>2990000</v>
      </c>
      <c r="G6" s="14">
        <v>0</v>
      </c>
      <c r="H6" s="9" t="s">
        <v>350</v>
      </c>
      <c r="I6" s="15">
        <v>900155107</v>
      </c>
      <c r="J6" s="16" t="s">
        <v>351</v>
      </c>
      <c r="K6" s="17">
        <v>23</v>
      </c>
      <c r="L6" s="18" t="s">
        <v>21</v>
      </c>
      <c r="M6" s="19">
        <v>109243.6974789916</v>
      </c>
      <c r="N6" s="19">
        <f t="shared" si="2"/>
        <v>20756.302521008405</v>
      </c>
      <c r="O6" s="19">
        <f t="shared" si="1"/>
        <v>2990000</v>
      </c>
      <c r="P6" s="17" t="s">
        <v>82</v>
      </c>
    </row>
    <row r="7" spans="1:16" x14ac:dyDescent="0.3">
      <c r="A7" s="9" t="s">
        <v>402</v>
      </c>
      <c r="B7" s="10" t="s">
        <v>192</v>
      </c>
      <c r="C7" s="11" t="s">
        <v>458</v>
      </c>
      <c r="D7" s="12">
        <v>44018</v>
      </c>
      <c r="E7" s="12">
        <v>44020</v>
      </c>
      <c r="F7" s="13">
        <v>13711200</v>
      </c>
      <c r="G7" s="14">
        <v>0</v>
      </c>
      <c r="H7" s="9" t="s">
        <v>459</v>
      </c>
      <c r="I7" s="15">
        <v>830501019</v>
      </c>
      <c r="J7" s="16" t="s">
        <v>460</v>
      </c>
      <c r="K7" s="17">
        <v>60</v>
      </c>
      <c r="L7" s="18" t="s">
        <v>21</v>
      </c>
      <c r="M7" s="19">
        <v>108000</v>
      </c>
      <c r="N7" s="19">
        <f>M7*0.19</f>
        <v>20520</v>
      </c>
      <c r="O7" s="19">
        <f t="shared" si="1"/>
        <v>7711200</v>
      </c>
      <c r="P7" s="17" t="s">
        <v>82</v>
      </c>
    </row>
    <row r="8" spans="1:16" x14ac:dyDescent="0.3">
      <c r="A8" s="9" t="s">
        <v>472</v>
      </c>
      <c r="B8" s="10" t="s">
        <v>522</v>
      </c>
      <c r="C8" s="11" t="s">
        <v>523</v>
      </c>
      <c r="D8" s="12">
        <v>43984</v>
      </c>
      <c r="E8" s="12">
        <v>43984</v>
      </c>
      <c r="F8" s="13">
        <v>2600000</v>
      </c>
      <c r="G8" s="14">
        <v>0</v>
      </c>
      <c r="H8" s="9" t="s">
        <v>172</v>
      </c>
      <c r="I8" s="15">
        <v>900155107</v>
      </c>
      <c r="J8" s="16" t="s">
        <v>524</v>
      </c>
      <c r="K8" s="17">
        <v>20</v>
      </c>
      <c r="L8" s="18" t="s">
        <v>21</v>
      </c>
      <c r="M8" s="19">
        <v>109244</v>
      </c>
      <c r="N8" s="19">
        <f>M8*0.19</f>
        <v>20756.36</v>
      </c>
      <c r="O8" s="19">
        <f t="shared" si="1"/>
        <v>2600007.2000000002</v>
      </c>
      <c r="P8" s="17" t="s">
        <v>82</v>
      </c>
    </row>
    <row r="9" spans="1:16" x14ac:dyDescent="0.3">
      <c r="A9" s="9" t="s">
        <v>558</v>
      </c>
      <c r="B9" s="10" t="s">
        <v>585</v>
      </c>
      <c r="C9" s="11" t="s">
        <v>586</v>
      </c>
      <c r="D9" s="12">
        <v>43977</v>
      </c>
      <c r="E9" s="12">
        <v>43978</v>
      </c>
      <c r="F9" s="13">
        <v>18549720</v>
      </c>
      <c r="G9" s="14">
        <v>0</v>
      </c>
      <c r="H9" s="9" t="s">
        <v>587</v>
      </c>
      <c r="I9" s="15">
        <v>1090509490</v>
      </c>
      <c r="J9" s="16" t="s">
        <v>590</v>
      </c>
      <c r="K9" s="17">
        <v>39</v>
      </c>
      <c r="L9" s="18" t="s">
        <v>21</v>
      </c>
      <c r="M9" s="19">
        <v>205000</v>
      </c>
      <c r="N9" s="19">
        <f t="shared" ref="N9" si="3">M9*0.19</f>
        <v>38950</v>
      </c>
      <c r="O9" s="19">
        <f t="shared" si="1"/>
        <v>9514050</v>
      </c>
      <c r="P9" s="17" t="s">
        <v>82</v>
      </c>
    </row>
    <row r="10" spans="1:16" x14ac:dyDescent="0.3">
      <c r="A10" s="9" t="s">
        <v>558</v>
      </c>
      <c r="B10" s="10" t="s">
        <v>607</v>
      </c>
      <c r="C10" s="11" t="s">
        <v>608</v>
      </c>
      <c r="D10" s="12">
        <v>44007</v>
      </c>
      <c r="E10" s="12">
        <v>44012</v>
      </c>
      <c r="F10" s="13">
        <v>8568000</v>
      </c>
      <c r="G10" s="14">
        <v>0</v>
      </c>
      <c r="H10" s="9" t="s">
        <v>609</v>
      </c>
      <c r="I10" s="15">
        <v>372476171</v>
      </c>
      <c r="J10" s="16" t="s">
        <v>610</v>
      </c>
      <c r="K10" s="17">
        <v>60</v>
      </c>
      <c r="L10" s="18" t="s">
        <v>21</v>
      </c>
      <c r="M10" s="19">
        <v>120000</v>
      </c>
      <c r="N10" s="19">
        <f>M10*0.19</f>
        <v>22800</v>
      </c>
      <c r="O10" s="19">
        <f t="shared" si="1"/>
        <v>8568000</v>
      </c>
      <c r="P10" s="17" t="s">
        <v>82</v>
      </c>
    </row>
    <row r="11" spans="1:16" x14ac:dyDescent="0.3">
      <c r="A11" s="9" t="s">
        <v>558</v>
      </c>
      <c r="B11" s="10" t="s">
        <v>2019</v>
      </c>
      <c r="C11" s="28" t="s">
        <v>632</v>
      </c>
      <c r="D11" s="12">
        <v>44095</v>
      </c>
      <c r="E11" s="12">
        <v>44095</v>
      </c>
      <c r="F11" s="13">
        <v>10920060</v>
      </c>
      <c r="G11" s="14">
        <v>0</v>
      </c>
      <c r="H11" s="9" t="s">
        <v>633</v>
      </c>
      <c r="I11" s="15">
        <v>900155107</v>
      </c>
      <c r="J11" s="16" t="s">
        <v>634</v>
      </c>
      <c r="K11" s="17">
        <v>180</v>
      </c>
      <c r="L11" s="18" t="s">
        <v>21</v>
      </c>
      <c r="M11" s="19">
        <v>60667</v>
      </c>
      <c r="N11" s="19">
        <v>0</v>
      </c>
      <c r="O11" s="19">
        <f t="shared" si="1"/>
        <v>10920060</v>
      </c>
      <c r="P11" s="17" t="s">
        <v>82</v>
      </c>
    </row>
    <row r="12" spans="1:16" x14ac:dyDescent="0.3">
      <c r="A12" s="9" t="s">
        <v>657</v>
      </c>
      <c r="B12" s="10" t="s">
        <v>670</v>
      </c>
      <c r="C12" s="11" t="s">
        <v>671</v>
      </c>
      <c r="D12" s="12">
        <v>44015</v>
      </c>
      <c r="E12" s="12">
        <v>44018</v>
      </c>
      <c r="F12" s="13">
        <v>201000100</v>
      </c>
      <c r="G12" s="14">
        <v>0</v>
      </c>
      <c r="H12" s="9" t="s">
        <v>660</v>
      </c>
      <c r="I12" s="15">
        <v>813005241</v>
      </c>
      <c r="J12" s="16" t="s">
        <v>677</v>
      </c>
      <c r="K12" s="17">
        <v>48</v>
      </c>
      <c r="L12" s="18" t="s">
        <v>21</v>
      </c>
      <c r="M12" s="19">
        <v>43200</v>
      </c>
      <c r="N12" s="19">
        <v>0</v>
      </c>
      <c r="O12" s="19">
        <f t="shared" si="1"/>
        <v>2073600</v>
      </c>
      <c r="P12" s="17" t="s">
        <v>82</v>
      </c>
    </row>
    <row r="13" spans="1:16" x14ac:dyDescent="0.3">
      <c r="A13" s="9" t="s">
        <v>690</v>
      </c>
      <c r="B13" s="10" t="s">
        <v>770</v>
      </c>
      <c r="C13" s="11" t="s">
        <v>771</v>
      </c>
      <c r="D13" s="12">
        <v>44018</v>
      </c>
      <c r="E13" s="12">
        <v>44020</v>
      </c>
      <c r="F13" s="13">
        <v>6257500</v>
      </c>
      <c r="G13" s="14">
        <v>0</v>
      </c>
      <c r="H13" s="9" t="s">
        <v>772</v>
      </c>
      <c r="I13" s="15">
        <v>80748897</v>
      </c>
      <c r="J13" s="16" t="s">
        <v>773</v>
      </c>
      <c r="K13" s="17">
        <v>42</v>
      </c>
      <c r="L13" s="18" t="s">
        <v>21</v>
      </c>
      <c r="M13" s="19">
        <v>125000</v>
      </c>
      <c r="N13" s="19">
        <f>M13*0.19</f>
        <v>23750</v>
      </c>
      <c r="O13" s="19">
        <f t="shared" si="1"/>
        <v>6247500</v>
      </c>
      <c r="P13" s="17" t="s">
        <v>82</v>
      </c>
    </row>
    <row r="14" spans="1:16" x14ac:dyDescent="0.3">
      <c r="A14" s="9" t="s">
        <v>690</v>
      </c>
      <c r="B14" s="10" t="s">
        <v>2045</v>
      </c>
      <c r="C14" s="11" t="s">
        <v>777</v>
      </c>
      <c r="D14" s="12">
        <v>44036</v>
      </c>
      <c r="E14" s="12">
        <v>44036</v>
      </c>
      <c r="F14" s="13">
        <v>8400000</v>
      </c>
      <c r="G14" s="14">
        <v>0</v>
      </c>
      <c r="H14" s="9" t="s">
        <v>778</v>
      </c>
      <c r="I14" s="15">
        <v>10003534</v>
      </c>
      <c r="J14" s="16" t="s">
        <v>779</v>
      </c>
      <c r="K14" s="17">
        <v>100</v>
      </c>
      <c r="L14" s="18" t="s">
        <v>21</v>
      </c>
      <c r="M14" s="19">
        <v>72000</v>
      </c>
      <c r="N14" s="19">
        <v>0</v>
      </c>
      <c r="O14" s="19">
        <f t="shared" si="1"/>
        <v>7200000</v>
      </c>
      <c r="P14" s="17" t="s">
        <v>82</v>
      </c>
    </row>
    <row r="15" spans="1:16" x14ac:dyDescent="0.3">
      <c r="A15" s="33" t="s">
        <v>690</v>
      </c>
      <c r="B15" s="33" t="s">
        <v>804</v>
      </c>
      <c r="C15" s="33" t="s">
        <v>1811</v>
      </c>
      <c r="D15" s="34">
        <v>44186</v>
      </c>
      <c r="E15" s="34">
        <v>44186</v>
      </c>
      <c r="F15" s="35">
        <v>15191150</v>
      </c>
      <c r="G15" s="14">
        <v>0</v>
      </c>
      <c r="H15" s="33" t="s">
        <v>110</v>
      </c>
      <c r="I15" s="36">
        <v>900353659</v>
      </c>
      <c r="J15" s="33" t="s">
        <v>1875</v>
      </c>
      <c r="K15" s="17">
        <v>100</v>
      </c>
      <c r="L15" s="37" t="s">
        <v>21</v>
      </c>
      <c r="M15" s="19">
        <v>66850</v>
      </c>
      <c r="N15" s="19">
        <f t="shared" ref="N15:N16" si="4">M15*0.19</f>
        <v>12701.5</v>
      </c>
      <c r="O15" s="19">
        <f t="shared" si="1"/>
        <v>7955150</v>
      </c>
      <c r="P15" s="17" t="s">
        <v>82</v>
      </c>
    </row>
    <row r="16" spans="1:16" x14ac:dyDescent="0.3">
      <c r="A16" s="33" t="s">
        <v>690</v>
      </c>
      <c r="B16" s="33" t="s">
        <v>806</v>
      </c>
      <c r="C16" s="33" t="s">
        <v>1813</v>
      </c>
      <c r="D16" s="34">
        <v>44186</v>
      </c>
      <c r="E16" s="34">
        <v>44186</v>
      </c>
      <c r="F16" s="35">
        <v>10167457.199999999</v>
      </c>
      <c r="G16" s="14">
        <v>0</v>
      </c>
      <c r="H16" s="33" t="s">
        <v>356</v>
      </c>
      <c r="I16" s="36">
        <v>900300970</v>
      </c>
      <c r="J16" s="33" t="s">
        <v>1877</v>
      </c>
      <c r="K16" s="17">
        <v>120</v>
      </c>
      <c r="L16" s="39" t="s">
        <v>21</v>
      </c>
      <c r="M16" s="19">
        <v>66999</v>
      </c>
      <c r="N16" s="19">
        <f t="shared" si="4"/>
        <v>12729.81</v>
      </c>
      <c r="O16" s="19">
        <f t="shared" si="1"/>
        <v>9567457.1999999993</v>
      </c>
      <c r="P16" s="17" t="s">
        <v>82</v>
      </c>
    </row>
    <row r="17" spans="1:16" x14ac:dyDescent="0.3">
      <c r="A17" s="9" t="s">
        <v>809</v>
      </c>
      <c r="B17" s="10" t="s">
        <v>810</v>
      </c>
      <c r="C17" s="11" t="s">
        <v>811</v>
      </c>
      <c r="D17" s="12">
        <v>43959</v>
      </c>
      <c r="E17" s="12">
        <v>43963</v>
      </c>
      <c r="F17" s="13">
        <v>36164900</v>
      </c>
      <c r="G17" s="14">
        <v>0</v>
      </c>
      <c r="H17" s="9" t="s">
        <v>812</v>
      </c>
      <c r="I17" s="15">
        <v>900429897</v>
      </c>
      <c r="J17" s="16" t="s">
        <v>854</v>
      </c>
      <c r="K17" s="17">
        <v>1335</v>
      </c>
      <c r="L17" s="18" t="s">
        <v>21</v>
      </c>
      <c r="M17" s="19">
        <v>10000</v>
      </c>
      <c r="N17" s="19">
        <v>0</v>
      </c>
      <c r="O17" s="19">
        <f t="shared" si="1"/>
        <v>13350000</v>
      </c>
      <c r="P17" s="17" t="s">
        <v>82</v>
      </c>
    </row>
    <row r="18" spans="1:16" x14ac:dyDescent="0.3">
      <c r="A18" s="9" t="s">
        <v>861</v>
      </c>
      <c r="B18" s="10" t="s">
        <v>909</v>
      </c>
      <c r="C18" s="11" t="s">
        <v>910</v>
      </c>
      <c r="D18" s="12">
        <v>43984</v>
      </c>
      <c r="E18" s="12">
        <v>43984</v>
      </c>
      <c r="F18" s="13">
        <v>4000000</v>
      </c>
      <c r="G18" s="14">
        <v>0</v>
      </c>
      <c r="H18" s="9" t="s">
        <v>911</v>
      </c>
      <c r="I18" s="15">
        <v>901059820</v>
      </c>
      <c r="J18" s="16" t="s">
        <v>912</v>
      </c>
      <c r="K18" s="17">
        <v>22</v>
      </c>
      <c r="L18" s="18" t="s">
        <v>21</v>
      </c>
      <c r="M18" s="19">
        <v>134453.78</v>
      </c>
      <c r="N18" s="19">
        <f t="shared" ref="N18:N19" si="5">M18*0.19</f>
        <v>25546.218199999999</v>
      </c>
      <c r="O18" s="19">
        <f t="shared" si="1"/>
        <v>3519999.9604000002</v>
      </c>
      <c r="P18" s="17" t="s">
        <v>82</v>
      </c>
    </row>
    <row r="19" spans="1:16" x14ac:dyDescent="0.3">
      <c r="A19" s="9" t="s">
        <v>861</v>
      </c>
      <c r="B19" s="10" t="s">
        <v>970</v>
      </c>
      <c r="C19" s="11" t="s">
        <v>971</v>
      </c>
      <c r="D19" s="12">
        <v>44098</v>
      </c>
      <c r="E19" s="12">
        <v>44104</v>
      </c>
      <c r="F19" s="13">
        <v>1076800</v>
      </c>
      <c r="G19" s="14">
        <v>0</v>
      </c>
      <c r="H19" s="9" t="s">
        <v>972</v>
      </c>
      <c r="I19" s="15" t="s">
        <v>973</v>
      </c>
      <c r="J19" s="16" t="s">
        <v>974</v>
      </c>
      <c r="K19" s="17">
        <v>12</v>
      </c>
      <c r="L19" s="18" t="s">
        <v>21</v>
      </c>
      <c r="M19" s="19">
        <v>60000</v>
      </c>
      <c r="N19" s="19">
        <f t="shared" si="5"/>
        <v>11400</v>
      </c>
      <c r="O19" s="19">
        <f t="shared" si="1"/>
        <v>856800</v>
      </c>
      <c r="P19" s="17" t="s">
        <v>82</v>
      </c>
    </row>
    <row r="20" spans="1:16" x14ac:dyDescent="0.3">
      <c r="A20" s="9" t="s">
        <v>1006</v>
      </c>
      <c r="B20" s="10" t="s">
        <v>1024</v>
      </c>
      <c r="C20" s="11" t="s">
        <v>1022</v>
      </c>
      <c r="D20" s="12">
        <v>43971</v>
      </c>
      <c r="E20" s="12">
        <v>43978</v>
      </c>
      <c r="F20" s="13">
        <v>9683640</v>
      </c>
      <c r="G20" s="14">
        <v>0</v>
      </c>
      <c r="H20" s="9" t="s">
        <v>1025</v>
      </c>
      <c r="I20" s="15">
        <v>830094214</v>
      </c>
      <c r="J20" s="16" t="s">
        <v>1888</v>
      </c>
      <c r="K20" s="17">
        <v>40</v>
      </c>
      <c r="L20" s="18" t="s">
        <v>21</v>
      </c>
      <c r="M20" s="19">
        <v>76666</v>
      </c>
      <c r="N20" s="19">
        <v>0</v>
      </c>
      <c r="O20" s="19">
        <f t="shared" si="1"/>
        <v>3066640</v>
      </c>
      <c r="P20" s="17" t="s">
        <v>82</v>
      </c>
    </row>
    <row r="21" spans="1:16" x14ac:dyDescent="0.3">
      <c r="A21" s="9" t="s">
        <v>1006</v>
      </c>
      <c r="B21" s="10" t="s">
        <v>1024</v>
      </c>
      <c r="C21" s="11" t="s">
        <v>1022</v>
      </c>
      <c r="D21" s="12">
        <v>43971</v>
      </c>
      <c r="E21" s="12">
        <v>43978</v>
      </c>
      <c r="F21" s="13">
        <v>9683640</v>
      </c>
      <c r="G21" s="14">
        <v>0</v>
      </c>
      <c r="H21" s="9" t="s">
        <v>1025</v>
      </c>
      <c r="I21" s="15">
        <v>830094214</v>
      </c>
      <c r="J21" s="16" t="s">
        <v>1889</v>
      </c>
      <c r="K21" s="17">
        <v>40</v>
      </c>
      <c r="L21" s="18" t="s">
        <v>21</v>
      </c>
      <c r="M21" s="19">
        <v>50000</v>
      </c>
      <c r="N21" s="19">
        <v>0</v>
      </c>
      <c r="O21" s="19">
        <f t="shared" si="1"/>
        <v>2000000</v>
      </c>
      <c r="P21" s="17" t="s">
        <v>82</v>
      </c>
    </row>
    <row r="22" spans="1:16" x14ac:dyDescent="0.3">
      <c r="A22" s="9" t="s">
        <v>1006</v>
      </c>
      <c r="B22" s="10" t="s">
        <v>1026</v>
      </c>
      <c r="C22" s="11" t="s">
        <v>1022</v>
      </c>
      <c r="D22" s="12">
        <v>43973</v>
      </c>
      <c r="E22" s="12">
        <v>43978</v>
      </c>
      <c r="F22" s="13">
        <v>9978900</v>
      </c>
      <c r="G22" s="14">
        <v>0</v>
      </c>
      <c r="H22" s="9" t="s">
        <v>1027</v>
      </c>
      <c r="I22" s="15">
        <v>900347045</v>
      </c>
      <c r="J22" s="16" t="s">
        <v>1891</v>
      </c>
      <c r="K22" s="17">
        <v>16</v>
      </c>
      <c r="L22" s="18" t="s">
        <v>21</v>
      </c>
      <c r="M22" s="19">
        <v>117226.8907</v>
      </c>
      <c r="N22" s="19">
        <f t="shared" ref="N22" si="6">M22*0.19</f>
        <v>22273.109232999999</v>
      </c>
      <c r="O22" s="19">
        <f t="shared" si="1"/>
        <v>2231999.9989280002</v>
      </c>
      <c r="P22" s="17" t="s">
        <v>82</v>
      </c>
    </row>
    <row r="23" spans="1:16" x14ac:dyDescent="0.3">
      <c r="A23" s="9" t="s">
        <v>1006</v>
      </c>
      <c r="B23" s="10" t="s">
        <v>1036</v>
      </c>
      <c r="C23" s="11" t="s">
        <v>1029</v>
      </c>
      <c r="D23" s="12">
        <v>43983</v>
      </c>
      <c r="E23" s="12">
        <v>43990</v>
      </c>
      <c r="F23" s="13">
        <v>6288000</v>
      </c>
      <c r="G23" s="14">
        <v>0</v>
      </c>
      <c r="H23" s="9" t="s">
        <v>1037</v>
      </c>
      <c r="I23" s="15">
        <v>900305563</v>
      </c>
      <c r="J23" s="16" t="s">
        <v>1902</v>
      </c>
      <c r="K23" s="17">
        <v>32</v>
      </c>
      <c r="L23" s="18" t="s">
        <v>21</v>
      </c>
      <c r="M23" s="19">
        <v>165126.05042000001</v>
      </c>
      <c r="N23" s="19">
        <f>M23*0.19</f>
        <v>31373.949579800003</v>
      </c>
      <c r="O23" s="19">
        <f t="shared" si="1"/>
        <v>6287999.9999936009</v>
      </c>
      <c r="P23" s="17" t="s">
        <v>82</v>
      </c>
    </row>
    <row r="24" spans="1:16" x14ac:dyDescent="0.3">
      <c r="A24" s="9" t="s">
        <v>1006</v>
      </c>
      <c r="B24" s="10" t="s">
        <v>1978</v>
      </c>
      <c r="C24" s="11" t="s">
        <v>1029</v>
      </c>
      <c r="D24" s="12">
        <v>44180</v>
      </c>
      <c r="E24" s="12">
        <v>44180</v>
      </c>
      <c r="F24" s="13">
        <v>1215287.5</v>
      </c>
      <c r="G24" s="14">
        <v>0</v>
      </c>
      <c r="H24" s="9" t="s">
        <v>356</v>
      </c>
      <c r="I24" s="15">
        <v>900300970</v>
      </c>
      <c r="J24" s="16" t="s">
        <v>1285</v>
      </c>
      <c r="K24" s="17">
        <v>25</v>
      </c>
      <c r="L24" s="18" t="s">
        <v>21</v>
      </c>
      <c r="M24" s="19">
        <v>40850</v>
      </c>
      <c r="N24" s="19">
        <f>M24*0.19</f>
        <v>7761.5</v>
      </c>
      <c r="O24" s="19">
        <f t="shared" si="1"/>
        <v>1215287.5</v>
      </c>
      <c r="P24" s="17" t="s">
        <v>82</v>
      </c>
    </row>
    <row r="25" spans="1:16" x14ac:dyDescent="0.3">
      <c r="A25" s="9" t="s">
        <v>1050</v>
      </c>
      <c r="B25" s="10" t="s">
        <v>1074</v>
      </c>
      <c r="C25" s="11" t="s">
        <v>1072</v>
      </c>
      <c r="D25" s="12">
        <v>43985</v>
      </c>
      <c r="E25" s="12">
        <v>43986</v>
      </c>
      <c r="F25" s="13">
        <v>44570660</v>
      </c>
      <c r="G25" s="14">
        <v>0</v>
      </c>
      <c r="H25" s="9" t="s">
        <v>1075</v>
      </c>
      <c r="I25" s="15">
        <v>900155107</v>
      </c>
      <c r="J25" s="16" t="s">
        <v>1078</v>
      </c>
      <c r="K25" s="17">
        <v>57</v>
      </c>
      <c r="L25" s="18" t="s">
        <v>21</v>
      </c>
      <c r="M25" s="19">
        <v>130000</v>
      </c>
      <c r="N25" s="19">
        <v>0</v>
      </c>
      <c r="O25" s="19">
        <f t="shared" si="1"/>
        <v>7410000</v>
      </c>
      <c r="P25" s="17" t="s">
        <v>82</v>
      </c>
    </row>
    <row r="26" spans="1:16" x14ac:dyDescent="0.3">
      <c r="A26" s="9" t="s">
        <v>1091</v>
      </c>
      <c r="B26" s="10" t="s">
        <v>2048</v>
      </c>
      <c r="C26" s="11" t="s">
        <v>1096</v>
      </c>
      <c r="D26" s="12">
        <v>43927</v>
      </c>
      <c r="E26" s="12">
        <v>43928</v>
      </c>
      <c r="F26" s="13">
        <v>82970740</v>
      </c>
      <c r="G26" s="14">
        <v>0</v>
      </c>
      <c r="H26" s="9" t="s">
        <v>1097</v>
      </c>
      <c r="I26" s="15">
        <v>59311027</v>
      </c>
      <c r="J26" s="16" t="s">
        <v>1101</v>
      </c>
      <c r="K26" s="17">
        <v>168</v>
      </c>
      <c r="L26" s="18" t="s">
        <v>21</v>
      </c>
      <c r="M26" s="19">
        <v>94500</v>
      </c>
      <c r="N26" s="19">
        <v>0</v>
      </c>
      <c r="O26" s="19">
        <f t="shared" si="1"/>
        <v>15876000</v>
      </c>
      <c r="P26" s="17" t="s">
        <v>82</v>
      </c>
    </row>
    <row r="27" spans="1:16" x14ac:dyDescent="0.3">
      <c r="A27" s="9" t="s">
        <v>1091</v>
      </c>
      <c r="B27" s="10" t="s">
        <v>2048</v>
      </c>
      <c r="C27" s="11" t="s">
        <v>1096</v>
      </c>
      <c r="D27" s="12">
        <v>43927</v>
      </c>
      <c r="E27" s="12">
        <v>43928</v>
      </c>
      <c r="F27" s="13">
        <v>82970740</v>
      </c>
      <c r="G27" s="14">
        <v>0</v>
      </c>
      <c r="H27" s="9" t="s">
        <v>1097</v>
      </c>
      <c r="I27" s="15">
        <v>59311027</v>
      </c>
      <c r="J27" s="16" t="s">
        <v>1102</v>
      </c>
      <c r="K27" s="17">
        <v>60</v>
      </c>
      <c r="L27" s="18" t="s">
        <v>21</v>
      </c>
      <c r="M27" s="19">
        <v>54500</v>
      </c>
      <c r="N27" s="19">
        <v>0</v>
      </c>
      <c r="O27" s="19">
        <f t="shared" si="1"/>
        <v>3270000</v>
      </c>
      <c r="P27" s="17" t="s">
        <v>82</v>
      </c>
    </row>
    <row r="28" spans="1:16" x14ac:dyDescent="0.3">
      <c r="A28" s="9" t="s">
        <v>1091</v>
      </c>
      <c r="B28" s="10" t="s">
        <v>2048</v>
      </c>
      <c r="C28" s="11" t="s">
        <v>1096</v>
      </c>
      <c r="D28" s="12">
        <v>43927</v>
      </c>
      <c r="E28" s="12">
        <v>43928</v>
      </c>
      <c r="F28" s="13">
        <v>82970740</v>
      </c>
      <c r="G28" s="14">
        <v>0</v>
      </c>
      <c r="H28" s="9" t="s">
        <v>1097</v>
      </c>
      <c r="I28" s="15">
        <v>59311027</v>
      </c>
      <c r="J28" s="16" t="s">
        <v>1103</v>
      </c>
      <c r="K28" s="17">
        <v>120</v>
      </c>
      <c r="L28" s="18" t="s">
        <v>21</v>
      </c>
      <c r="M28" s="19">
        <v>195782</v>
      </c>
      <c r="N28" s="19">
        <v>0</v>
      </c>
      <c r="O28" s="19">
        <f t="shared" si="1"/>
        <v>23493840</v>
      </c>
      <c r="P28" s="17" t="s">
        <v>82</v>
      </c>
    </row>
    <row r="29" spans="1:16" x14ac:dyDescent="0.3">
      <c r="A29" s="9" t="s">
        <v>1091</v>
      </c>
      <c r="B29" s="10" t="s">
        <v>2048</v>
      </c>
      <c r="C29" s="11" t="s">
        <v>1096</v>
      </c>
      <c r="D29" s="12">
        <v>43927</v>
      </c>
      <c r="E29" s="12">
        <v>43928</v>
      </c>
      <c r="F29" s="13">
        <v>0</v>
      </c>
      <c r="G29" s="14">
        <v>39472098</v>
      </c>
      <c r="H29" s="9" t="s">
        <v>1097</v>
      </c>
      <c r="I29" s="15">
        <v>59311027</v>
      </c>
      <c r="J29" s="16" t="s">
        <v>1101</v>
      </c>
      <c r="K29" s="17">
        <v>66</v>
      </c>
      <c r="L29" s="18" t="s">
        <v>21</v>
      </c>
      <c r="M29" s="19">
        <v>94500</v>
      </c>
      <c r="N29" s="19">
        <v>0</v>
      </c>
      <c r="O29" s="19">
        <f t="shared" si="1"/>
        <v>6237000</v>
      </c>
      <c r="P29" s="17" t="s">
        <v>82</v>
      </c>
    </row>
    <row r="30" spans="1:16" x14ac:dyDescent="0.3">
      <c r="A30" s="9" t="s">
        <v>1091</v>
      </c>
      <c r="B30" s="10" t="s">
        <v>2048</v>
      </c>
      <c r="C30" s="11" t="s">
        <v>1096</v>
      </c>
      <c r="D30" s="12">
        <v>43927</v>
      </c>
      <c r="E30" s="12">
        <v>43928</v>
      </c>
      <c r="F30" s="13">
        <v>0</v>
      </c>
      <c r="G30" s="14">
        <v>39472098</v>
      </c>
      <c r="H30" s="9" t="s">
        <v>1097</v>
      </c>
      <c r="I30" s="15">
        <v>59311027</v>
      </c>
      <c r="J30" s="16" t="s">
        <v>1102</v>
      </c>
      <c r="K30" s="17">
        <v>49</v>
      </c>
      <c r="L30" s="18" t="s">
        <v>21</v>
      </c>
      <c r="M30" s="19">
        <v>54500</v>
      </c>
      <c r="N30" s="19">
        <v>0</v>
      </c>
      <c r="O30" s="19">
        <f t="shared" si="1"/>
        <v>2670500</v>
      </c>
      <c r="P30" s="17" t="s">
        <v>82</v>
      </c>
    </row>
    <row r="31" spans="1:16" x14ac:dyDescent="0.3">
      <c r="A31" s="9" t="s">
        <v>1091</v>
      </c>
      <c r="B31" s="10" t="s">
        <v>2048</v>
      </c>
      <c r="C31" s="11" t="s">
        <v>1096</v>
      </c>
      <c r="D31" s="12">
        <v>43927</v>
      </c>
      <c r="E31" s="12">
        <v>43928</v>
      </c>
      <c r="F31" s="13">
        <v>0</v>
      </c>
      <c r="G31" s="14">
        <v>39472098</v>
      </c>
      <c r="H31" s="9" t="s">
        <v>1097</v>
      </c>
      <c r="I31" s="15">
        <v>59311027</v>
      </c>
      <c r="J31" s="16" t="s">
        <v>1103</v>
      </c>
      <c r="K31" s="17">
        <v>89</v>
      </c>
      <c r="L31" s="18" t="s">
        <v>21</v>
      </c>
      <c r="M31" s="19">
        <v>195782</v>
      </c>
      <c r="N31" s="19">
        <v>0</v>
      </c>
      <c r="O31" s="19">
        <f t="shared" si="1"/>
        <v>17424598</v>
      </c>
      <c r="P31" s="17" t="s">
        <v>82</v>
      </c>
    </row>
    <row r="32" spans="1:16" x14ac:dyDescent="0.3">
      <c r="A32" s="9" t="s">
        <v>1091</v>
      </c>
      <c r="B32" s="10" t="s">
        <v>1280</v>
      </c>
      <c r="C32" s="11" t="s">
        <v>1269</v>
      </c>
      <c r="D32" s="12">
        <v>44169</v>
      </c>
      <c r="E32" s="12">
        <v>44169</v>
      </c>
      <c r="F32" s="13">
        <v>17628481</v>
      </c>
      <c r="G32" s="14">
        <v>0</v>
      </c>
      <c r="H32" s="9" t="s">
        <v>356</v>
      </c>
      <c r="I32" s="15">
        <v>900300970</v>
      </c>
      <c r="J32" s="16" t="s">
        <v>1281</v>
      </c>
      <c r="K32" s="17">
        <v>220</v>
      </c>
      <c r="L32" s="18" t="s">
        <v>21</v>
      </c>
      <c r="M32" s="19">
        <v>67335.679999999993</v>
      </c>
      <c r="N32" s="19">
        <f>M32*0.19</f>
        <v>12793.779199999999</v>
      </c>
      <c r="O32" s="19">
        <f t="shared" si="1"/>
        <v>17628481.024</v>
      </c>
      <c r="P32" s="17" t="s">
        <v>82</v>
      </c>
    </row>
    <row r="33" spans="1:16" x14ac:dyDescent="0.3">
      <c r="A33" s="9" t="s">
        <v>1091</v>
      </c>
      <c r="B33" s="10" t="s">
        <v>1284</v>
      </c>
      <c r="C33" s="11" t="s">
        <v>1269</v>
      </c>
      <c r="D33" s="12">
        <v>44176</v>
      </c>
      <c r="E33" s="12">
        <v>44176</v>
      </c>
      <c r="F33" s="13">
        <v>43988134</v>
      </c>
      <c r="G33" s="14">
        <v>0</v>
      </c>
      <c r="H33" s="9" t="s">
        <v>110</v>
      </c>
      <c r="I33" s="15">
        <v>900353659</v>
      </c>
      <c r="J33" s="16" t="s">
        <v>1285</v>
      </c>
      <c r="K33" s="17">
        <v>300</v>
      </c>
      <c r="L33" s="18" t="s">
        <v>21</v>
      </c>
      <c r="M33" s="19">
        <v>40201.01</v>
      </c>
      <c r="N33" s="19">
        <f t="shared" ref="N33:N35" si="7">M33*0.19</f>
        <v>7638.1919000000007</v>
      </c>
      <c r="O33" s="19">
        <f t="shared" si="1"/>
        <v>14351760.57</v>
      </c>
      <c r="P33" s="17" t="s">
        <v>82</v>
      </c>
    </row>
    <row r="34" spans="1:16" x14ac:dyDescent="0.3">
      <c r="A34" s="9" t="s">
        <v>1291</v>
      </c>
      <c r="B34" s="10" t="s">
        <v>1292</v>
      </c>
      <c r="C34" s="11" t="s">
        <v>1293</v>
      </c>
      <c r="D34" s="12">
        <v>43915</v>
      </c>
      <c r="E34" s="12">
        <v>43916</v>
      </c>
      <c r="F34" s="13">
        <v>79231499</v>
      </c>
      <c r="G34" s="14">
        <v>0</v>
      </c>
      <c r="H34" s="9" t="s">
        <v>1294</v>
      </c>
      <c r="I34" s="15">
        <v>900916649</v>
      </c>
      <c r="J34" s="16" t="s">
        <v>1299</v>
      </c>
      <c r="K34" s="17">
        <v>37</v>
      </c>
      <c r="L34" s="18" t="s">
        <v>21</v>
      </c>
      <c r="M34" s="19">
        <v>157563</v>
      </c>
      <c r="N34" s="19">
        <f t="shared" si="7"/>
        <v>29936.97</v>
      </c>
      <c r="O34" s="19">
        <f t="shared" si="1"/>
        <v>6937498.8899999997</v>
      </c>
      <c r="P34" s="17" t="s">
        <v>82</v>
      </c>
    </row>
    <row r="35" spans="1:16" x14ac:dyDescent="0.3">
      <c r="A35" s="9" t="s">
        <v>1291</v>
      </c>
      <c r="B35" s="10" t="s">
        <v>1292</v>
      </c>
      <c r="C35" s="11" t="s">
        <v>1293</v>
      </c>
      <c r="D35" s="12">
        <v>43915</v>
      </c>
      <c r="E35" s="12">
        <v>43916</v>
      </c>
      <c r="F35" s="13">
        <v>79231499</v>
      </c>
      <c r="G35" s="14">
        <v>0</v>
      </c>
      <c r="H35" s="9" t="s">
        <v>1294</v>
      </c>
      <c r="I35" s="15">
        <v>900916649</v>
      </c>
      <c r="J35" s="16" t="s">
        <v>1300</v>
      </c>
      <c r="K35" s="17">
        <v>50</v>
      </c>
      <c r="L35" s="18" t="s">
        <v>21</v>
      </c>
      <c r="M35" s="19">
        <v>87500</v>
      </c>
      <c r="N35" s="19">
        <f t="shared" si="7"/>
        <v>16625</v>
      </c>
      <c r="O35" s="19">
        <f t="shared" si="1"/>
        <v>5206250</v>
      </c>
      <c r="P35" s="17" t="s">
        <v>82</v>
      </c>
    </row>
    <row r="36" spans="1:16" x14ac:dyDescent="0.3">
      <c r="A36" s="9" t="s">
        <v>1291</v>
      </c>
      <c r="B36" s="10">
        <v>49486</v>
      </c>
      <c r="C36" s="11" t="s">
        <v>2169</v>
      </c>
      <c r="D36" s="12">
        <v>43980</v>
      </c>
      <c r="E36" s="12">
        <v>43980</v>
      </c>
      <c r="F36" s="13">
        <v>10586100</v>
      </c>
      <c r="G36" s="14">
        <v>0</v>
      </c>
      <c r="H36" s="9" t="s">
        <v>346</v>
      </c>
      <c r="I36" s="15">
        <v>890900943</v>
      </c>
      <c r="J36" s="16" t="s">
        <v>2170</v>
      </c>
      <c r="K36" s="17">
        <v>42</v>
      </c>
      <c r="L36" s="18" t="s">
        <v>21</v>
      </c>
      <c r="M36" s="19">
        <v>252050</v>
      </c>
      <c r="N36" s="19">
        <v>0</v>
      </c>
      <c r="O36" s="19">
        <f t="shared" si="1"/>
        <v>10586100</v>
      </c>
      <c r="P36" s="17" t="s">
        <v>82</v>
      </c>
    </row>
    <row r="37" spans="1:16" x14ac:dyDescent="0.3">
      <c r="A37" s="9" t="s">
        <v>1291</v>
      </c>
      <c r="B37" s="10">
        <v>49722</v>
      </c>
      <c r="C37" s="11" t="s">
        <v>2307</v>
      </c>
      <c r="D37" s="12">
        <v>43984</v>
      </c>
      <c r="E37" s="12">
        <v>43984</v>
      </c>
      <c r="F37" s="13">
        <v>23734890</v>
      </c>
      <c r="G37" s="14">
        <v>0</v>
      </c>
      <c r="H37" s="9" t="s">
        <v>2172</v>
      </c>
      <c r="I37" s="15">
        <v>830037946</v>
      </c>
      <c r="J37" s="16" t="s">
        <v>2177</v>
      </c>
      <c r="K37" s="17">
        <v>90</v>
      </c>
      <c r="L37" s="18" t="s">
        <v>21</v>
      </c>
      <c r="M37" s="19">
        <v>123641</v>
      </c>
      <c r="N37" s="19">
        <v>0</v>
      </c>
      <c r="O37" s="19">
        <f t="shared" si="1"/>
        <v>11127690</v>
      </c>
      <c r="P37" s="17" t="s">
        <v>82</v>
      </c>
    </row>
    <row r="38" spans="1:16" x14ac:dyDescent="0.3">
      <c r="A38" s="9" t="s">
        <v>1291</v>
      </c>
      <c r="B38" s="10">
        <v>61976</v>
      </c>
      <c r="C38" s="11" t="s">
        <v>2206</v>
      </c>
      <c r="D38" s="12">
        <v>44181</v>
      </c>
      <c r="E38" s="12">
        <v>44181</v>
      </c>
      <c r="F38" s="13">
        <v>3349950</v>
      </c>
      <c r="G38" s="14">
        <v>0</v>
      </c>
      <c r="H38" s="9" t="s">
        <v>356</v>
      </c>
      <c r="I38" s="15">
        <v>900300970</v>
      </c>
      <c r="J38" s="16" t="s">
        <v>2207</v>
      </c>
      <c r="K38" s="17">
        <v>50</v>
      </c>
      <c r="L38" s="18" t="s">
        <v>21</v>
      </c>
      <c r="M38" s="19">
        <v>66999</v>
      </c>
      <c r="N38" s="19">
        <f t="shared" ref="N38:N41" si="8">+M38*19%</f>
        <v>12729.81</v>
      </c>
      <c r="O38" s="19">
        <f t="shared" si="1"/>
        <v>3986440.5</v>
      </c>
      <c r="P38" s="17" t="s">
        <v>82</v>
      </c>
    </row>
    <row r="39" spans="1:16" x14ac:dyDescent="0.3">
      <c r="A39" s="9" t="s">
        <v>1291</v>
      </c>
      <c r="B39" s="10">
        <v>61976</v>
      </c>
      <c r="C39" s="11" t="s">
        <v>2206</v>
      </c>
      <c r="D39" s="12">
        <v>44181</v>
      </c>
      <c r="E39" s="12">
        <v>44181</v>
      </c>
      <c r="F39" s="13">
        <v>2042500</v>
      </c>
      <c r="G39" s="14">
        <v>0</v>
      </c>
      <c r="H39" s="9" t="s">
        <v>356</v>
      </c>
      <c r="I39" s="15">
        <v>900300970</v>
      </c>
      <c r="J39" s="16" t="s">
        <v>2208</v>
      </c>
      <c r="K39" s="17">
        <v>50</v>
      </c>
      <c r="L39" s="18" t="s">
        <v>21</v>
      </c>
      <c r="M39" s="19">
        <v>40850</v>
      </c>
      <c r="N39" s="19">
        <f t="shared" si="8"/>
        <v>7761.5</v>
      </c>
      <c r="O39" s="19">
        <f t="shared" si="1"/>
        <v>2430575</v>
      </c>
      <c r="P39" s="17" t="s">
        <v>82</v>
      </c>
    </row>
    <row r="40" spans="1:16" x14ac:dyDescent="0.3">
      <c r="A40" s="9" t="s">
        <v>1291</v>
      </c>
      <c r="B40" s="10">
        <v>62161</v>
      </c>
      <c r="C40" s="11" t="s">
        <v>2216</v>
      </c>
      <c r="D40" s="12">
        <v>44182</v>
      </c>
      <c r="E40" s="12">
        <v>44182</v>
      </c>
      <c r="F40" s="13">
        <v>6699900</v>
      </c>
      <c r="G40" s="14">
        <v>0</v>
      </c>
      <c r="H40" s="9" t="s">
        <v>356</v>
      </c>
      <c r="I40" s="15">
        <v>900300970</v>
      </c>
      <c r="J40" s="16" t="s">
        <v>2207</v>
      </c>
      <c r="K40" s="17">
        <v>100</v>
      </c>
      <c r="L40" s="18" t="s">
        <v>21</v>
      </c>
      <c r="M40" s="19">
        <v>66999</v>
      </c>
      <c r="N40" s="19">
        <f t="shared" si="8"/>
        <v>12729.81</v>
      </c>
      <c r="O40" s="19">
        <f t="shared" si="1"/>
        <v>7972881</v>
      </c>
      <c r="P40" s="17" t="s">
        <v>82</v>
      </c>
    </row>
    <row r="41" spans="1:16" x14ac:dyDescent="0.3">
      <c r="A41" s="9" t="s">
        <v>1291</v>
      </c>
      <c r="B41" s="10">
        <v>62163</v>
      </c>
      <c r="C41" s="11" t="s">
        <v>2217</v>
      </c>
      <c r="D41" s="12">
        <v>44182</v>
      </c>
      <c r="E41" s="12">
        <v>44182</v>
      </c>
      <c r="F41" s="13">
        <v>5250000</v>
      </c>
      <c r="G41" s="14">
        <v>0</v>
      </c>
      <c r="H41" s="9" t="s">
        <v>2218</v>
      </c>
      <c r="I41" s="15">
        <v>10003534</v>
      </c>
      <c r="J41" s="16" t="s">
        <v>2219</v>
      </c>
      <c r="K41" s="17">
        <v>50</v>
      </c>
      <c r="L41" s="18" t="s">
        <v>21</v>
      </c>
      <c r="M41" s="19">
        <v>105000</v>
      </c>
      <c r="N41" s="19">
        <f t="shared" si="8"/>
        <v>19950</v>
      </c>
      <c r="O41" s="19">
        <f t="shared" si="1"/>
        <v>6247500</v>
      </c>
      <c r="P41" s="17" t="s">
        <v>82</v>
      </c>
    </row>
    <row r="42" spans="1:16" x14ac:dyDescent="0.3">
      <c r="A42" s="9" t="s">
        <v>1291</v>
      </c>
      <c r="B42" s="10">
        <v>62249</v>
      </c>
      <c r="C42" s="11" t="s">
        <v>2228</v>
      </c>
      <c r="D42" s="12">
        <v>44183</v>
      </c>
      <c r="E42" s="12">
        <v>44183</v>
      </c>
      <c r="F42" s="13">
        <v>8034335.5</v>
      </c>
      <c r="G42" s="14">
        <v>0</v>
      </c>
      <c r="H42" s="9" t="s">
        <v>795</v>
      </c>
      <c r="I42" s="15">
        <v>900671732</v>
      </c>
      <c r="J42" s="16" t="s">
        <v>2219</v>
      </c>
      <c r="K42" s="17">
        <v>50</v>
      </c>
      <c r="L42" s="18" t="s">
        <v>21</v>
      </c>
      <c r="M42" s="19">
        <v>116995</v>
      </c>
      <c r="N42" s="19">
        <f>+M42*19%</f>
        <v>22229.05</v>
      </c>
      <c r="O42" s="19">
        <f t="shared" si="1"/>
        <v>6961202.4999999991</v>
      </c>
      <c r="P42" s="17" t="s">
        <v>82</v>
      </c>
    </row>
    <row r="43" spans="1:16" x14ac:dyDescent="0.3">
      <c r="A43" s="9" t="s">
        <v>1306</v>
      </c>
      <c r="B43" s="10" t="s">
        <v>1329</v>
      </c>
      <c r="C43" s="11" t="s">
        <v>1330</v>
      </c>
      <c r="D43" s="12">
        <v>43917</v>
      </c>
      <c r="E43" s="12">
        <v>43910</v>
      </c>
      <c r="F43" s="13">
        <v>1911550</v>
      </c>
      <c r="G43" s="14">
        <v>0</v>
      </c>
      <c r="H43" s="9" t="s">
        <v>1331</v>
      </c>
      <c r="I43" s="15">
        <v>12109146</v>
      </c>
      <c r="J43" s="16" t="s">
        <v>1333</v>
      </c>
      <c r="K43" s="17">
        <v>3</v>
      </c>
      <c r="L43" s="18" t="s">
        <v>21</v>
      </c>
      <c r="M43" s="19">
        <v>62899.159663865546</v>
      </c>
      <c r="N43" s="19">
        <f t="shared" ref="N43" si="9">M43*0.19</f>
        <v>11950.840336134454</v>
      </c>
      <c r="O43" s="19">
        <f t="shared" si="1"/>
        <v>224550</v>
      </c>
      <c r="P43" s="17" t="s">
        <v>82</v>
      </c>
    </row>
    <row r="44" spans="1:16" x14ac:dyDescent="0.3">
      <c r="A44" s="9" t="s">
        <v>1306</v>
      </c>
      <c r="B44" s="10" t="s">
        <v>2063</v>
      </c>
      <c r="C44" s="11" t="s">
        <v>1376</v>
      </c>
      <c r="D44" s="12">
        <v>43980</v>
      </c>
      <c r="E44" s="12">
        <v>43980</v>
      </c>
      <c r="F44" s="13">
        <v>10400000</v>
      </c>
      <c r="G44" s="14">
        <v>0</v>
      </c>
      <c r="H44" s="9" t="s">
        <v>172</v>
      </c>
      <c r="I44" s="15">
        <v>900155107</v>
      </c>
      <c r="J44" s="16" t="s">
        <v>1377</v>
      </c>
      <c r="K44" s="17">
        <v>80</v>
      </c>
      <c r="L44" s="18" t="s">
        <v>21</v>
      </c>
      <c r="M44" s="19">
        <v>130000</v>
      </c>
      <c r="N44" s="19">
        <v>0</v>
      </c>
      <c r="O44" s="19">
        <f t="shared" si="1"/>
        <v>10400000</v>
      </c>
      <c r="P44" s="17" t="s">
        <v>82</v>
      </c>
    </row>
    <row r="45" spans="1:16" x14ac:dyDescent="0.3">
      <c r="A45" s="9" t="s">
        <v>1437</v>
      </c>
      <c r="B45" s="10" t="s">
        <v>2071</v>
      </c>
      <c r="C45" s="11" t="s">
        <v>1821</v>
      </c>
      <c r="D45" s="12">
        <v>44131</v>
      </c>
      <c r="E45" s="12">
        <v>44131</v>
      </c>
      <c r="F45" s="13">
        <v>5745134</v>
      </c>
      <c r="G45" s="14">
        <v>0</v>
      </c>
      <c r="H45" s="9" t="s">
        <v>56</v>
      </c>
      <c r="I45" s="15" t="s">
        <v>1455</v>
      </c>
      <c r="J45" s="16" t="s">
        <v>1456</v>
      </c>
      <c r="K45" s="17">
        <v>100</v>
      </c>
      <c r="L45" s="18" t="s">
        <v>21</v>
      </c>
      <c r="M45" s="19">
        <v>48278.436974789918</v>
      </c>
      <c r="N45" s="19">
        <f>M45*0.19</f>
        <v>9172.9030252100838</v>
      </c>
      <c r="O45" s="19">
        <f t="shared" si="1"/>
        <v>5745134</v>
      </c>
      <c r="P45" s="17" t="s">
        <v>82</v>
      </c>
    </row>
    <row r="46" spans="1:16" x14ac:dyDescent="0.3">
      <c r="A46" s="9" t="s">
        <v>1472</v>
      </c>
      <c r="B46" s="10" t="s">
        <v>1506</v>
      </c>
      <c r="C46" s="11" t="s">
        <v>1507</v>
      </c>
      <c r="D46" s="12">
        <v>43990</v>
      </c>
      <c r="E46" s="12">
        <v>43990</v>
      </c>
      <c r="F46" s="13">
        <v>2909550</v>
      </c>
      <c r="G46" s="14">
        <v>0</v>
      </c>
      <c r="H46" s="9" t="s">
        <v>1508</v>
      </c>
      <c r="I46" s="15">
        <v>22866793</v>
      </c>
      <c r="J46" s="16" t="s">
        <v>1509</v>
      </c>
      <c r="K46" s="17">
        <v>15</v>
      </c>
      <c r="L46" s="18" t="s">
        <v>21</v>
      </c>
      <c r="M46" s="19">
        <v>163000</v>
      </c>
      <c r="N46" s="19">
        <f>M46*0.19</f>
        <v>30970</v>
      </c>
      <c r="O46" s="19">
        <f t="shared" si="1"/>
        <v>2909550</v>
      </c>
      <c r="P46" s="17" t="s">
        <v>82</v>
      </c>
    </row>
    <row r="47" spans="1:16" x14ac:dyDescent="0.3">
      <c r="A47" s="9" t="s">
        <v>1571</v>
      </c>
      <c r="B47" s="10" t="s">
        <v>2079</v>
      </c>
      <c r="C47" s="11" t="s">
        <v>1575</v>
      </c>
      <c r="D47" s="12">
        <v>43909</v>
      </c>
      <c r="E47" s="12">
        <v>43909</v>
      </c>
      <c r="F47" s="13">
        <v>29028000</v>
      </c>
      <c r="G47" s="14">
        <v>0</v>
      </c>
      <c r="H47" s="9" t="s">
        <v>1576</v>
      </c>
      <c r="I47" s="15">
        <v>900837029</v>
      </c>
      <c r="J47" s="16" t="s">
        <v>1578</v>
      </c>
      <c r="K47" s="17">
        <v>100</v>
      </c>
      <c r="L47" s="18" t="s">
        <v>21</v>
      </c>
      <c r="M47" s="19">
        <v>60000</v>
      </c>
      <c r="N47" s="19">
        <f t="shared" ref="N47" si="10">M47*0.19</f>
        <v>11400</v>
      </c>
      <c r="O47" s="19">
        <f t="shared" si="1"/>
        <v>7140000</v>
      </c>
      <c r="P47" s="17" t="s">
        <v>82</v>
      </c>
    </row>
    <row r="48" spans="1:16" x14ac:dyDescent="0.3">
      <c r="A48" s="9" t="s">
        <v>1571</v>
      </c>
      <c r="B48" s="10" t="s">
        <v>2086</v>
      </c>
      <c r="C48" s="11" t="s">
        <v>1596</v>
      </c>
      <c r="D48" s="12">
        <v>43985</v>
      </c>
      <c r="E48" s="12">
        <v>43985</v>
      </c>
      <c r="F48" s="13">
        <v>2231250</v>
      </c>
      <c r="G48" s="14">
        <v>0</v>
      </c>
      <c r="H48" s="9" t="s">
        <v>1597</v>
      </c>
      <c r="I48" s="15">
        <v>900112885</v>
      </c>
      <c r="J48" s="16" t="s">
        <v>1598</v>
      </c>
      <c r="K48" s="17">
        <v>15</v>
      </c>
      <c r="L48" s="18" t="s">
        <v>21</v>
      </c>
      <c r="M48" s="19">
        <v>125000</v>
      </c>
      <c r="N48" s="19">
        <f>M48*0.19</f>
        <v>23750</v>
      </c>
      <c r="O48" s="19">
        <f t="shared" si="1"/>
        <v>2231250</v>
      </c>
      <c r="P48" s="17" t="s">
        <v>82</v>
      </c>
    </row>
    <row r="49" spans="1:16" x14ac:dyDescent="0.3">
      <c r="A49" s="9" t="s">
        <v>1629</v>
      </c>
      <c r="B49" s="10" t="s">
        <v>1679</v>
      </c>
      <c r="C49" s="11" t="s">
        <v>1680</v>
      </c>
      <c r="D49" s="12">
        <v>44018</v>
      </c>
      <c r="E49" s="12">
        <v>44018</v>
      </c>
      <c r="F49" s="13">
        <v>24633605</v>
      </c>
      <c r="G49" s="14">
        <v>0</v>
      </c>
      <c r="H49" s="9" t="s">
        <v>1681</v>
      </c>
      <c r="I49" s="15">
        <v>890900943</v>
      </c>
      <c r="J49" s="16" t="s">
        <v>1682</v>
      </c>
      <c r="K49" s="17">
        <v>95</v>
      </c>
      <c r="L49" s="18" t="s">
        <v>21</v>
      </c>
      <c r="M49" s="19">
        <v>252339</v>
      </c>
      <c r="N49" s="19">
        <v>0</v>
      </c>
      <c r="O49" s="19">
        <f t="shared" si="1"/>
        <v>23972205</v>
      </c>
      <c r="P49" s="17" t="s">
        <v>82</v>
      </c>
    </row>
    <row r="50" spans="1:16" x14ac:dyDescent="0.3">
      <c r="A50" s="9" t="s">
        <v>1692</v>
      </c>
      <c r="B50" s="10" t="s">
        <v>1723</v>
      </c>
      <c r="C50" s="11" t="s">
        <v>1724</v>
      </c>
      <c r="D50" s="12">
        <v>43986</v>
      </c>
      <c r="E50" s="12">
        <v>43986</v>
      </c>
      <c r="F50" s="13">
        <v>1560000</v>
      </c>
      <c r="G50" s="14">
        <v>0</v>
      </c>
      <c r="H50" s="9" t="s">
        <v>1725</v>
      </c>
      <c r="I50" s="15">
        <v>900346622</v>
      </c>
      <c r="J50" s="16" t="s">
        <v>1726</v>
      </c>
      <c r="K50" s="17">
        <v>30</v>
      </c>
      <c r="L50" s="18" t="s">
        <v>21</v>
      </c>
      <c r="M50" s="19">
        <v>52000</v>
      </c>
      <c r="N50" s="19">
        <v>0</v>
      </c>
      <c r="O50" s="19">
        <f t="shared" si="1"/>
        <v>1560000</v>
      </c>
      <c r="P50" s="17" t="s">
        <v>82</v>
      </c>
    </row>
  </sheetData>
  <dataValidations count="12">
    <dataValidation type="date" allowBlank="1" showInputMessage="1" errorTitle="Entrada no válida" error="Por favor escriba una fecha válida (AAAA/MM/DD)" promptTitle="Ingrese una fecha (AAAA/MM/DD)" prompt=" Registre la fecha en la cual se SUSCRIBIÓ el contrato  (Formato AAAA/MM/DD)." sqref="D3 D20:D22 D18 D17:E17 D34:D35 E13 D7:D9 D13:D16 D44:E44 D45:D47 D50">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 E20:E22 E18 E3 E34 E7:E9 E14:E16 E45 E47 A49:B49 D49:I49 E5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14:F16 F3 F7:F8 F18 F20:F22 F45 F4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6:A19 A34:A42 A46 A50">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4 I3 I8:I9 I20:I22 I11 I14:I18 I42 I45 I47:I48 I5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7:H11 H13:H22 H3 H42 H45 H47:H48 H5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13:B16 B18:B22 B7:B10 B34:B35 B3 B45:B46">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7 I9">
      <formula1>-99999999999</formula1>
      <formula2>99999999999</formula2>
    </dataValidation>
    <dataValidation type="date" allowBlank="1" showInputMessage="1" errorTitle="Entrada no válida" error="Por favor escriba una fecha válida (AAAA/MM/DD)" promptTitle="Ingrese una fecha (AAAA/MM/DD)" prompt=" Registre la fecha en la cual se SUSCRIBIÓ la orden (Formato AAAA/MM/DD)." sqref="D19:E19 D10:E11 D23:E33 D43:E43 D48:E4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C10">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4 G12 G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13 F19 F48">
      <formula1>-9223372036854770000</formula1>
      <formula2>9223372036854770000</formula2>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P14"/>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83</v>
      </c>
      <c r="C2" s="11" t="s">
        <v>84</v>
      </c>
      <c r="D2" s="12">
        <v>44029</v>
      </c>
      <c r="E2" s="12">
        <v>44039</v>
      </c>
      <c r="F2" s="13">
        <v>17828727</v>
      </c>
      <c r="G2" s="14">
        <v>0</v>
      </c>
      <c r="H2" s="9" t="s">
        <v>85</v>
      </c>
      <c r="I2" s="15">
        <v>1030574087</v>
      </c>
      <c r="J2" s="16" t="s">
        <v>86</v>
      </c>
      <c r="K2" s="17">
        <v>60</v>
      </c>
      <c r="L2" s="18" t="s">
        <v>21</v>
      </c>
      <c r="M2" s="19">
        <v>297145.45</v>
      </c>
      <c r="N2" s="19">
        <v>0</v>
      </c>
      <c r="O2" s="19">
        <f t="shared" ref="O2:O3" si="0">K2*(M2+N2)</f>
        <v>17828727</v>
      </c>
      <c r="P2" s="17" t="s">
        <v>87</v>
      </c>
    </row>
    <row r="3" spans="1:16" x14ac:dyDescent="0.3">
      <c r="A3" s="9" t="s">
        <v>284</v>
      </c>
      <c r="B3" s="10" t="s">
        <v>383</v>
      </c>
      <c r="C3" s="11" t="s">
        <v>1779</v>
      </c>
      <c r="D3" s="12">
        <v>44085</v>
      </c>
      <c r="E3" s="12">
        <v>44083</v>
      </c>
      <c r="F3" s="13">
        <v>190000000</v>
      </c>
      <c r="G3" s="14">
        <v>0</v>
      </c>
      <c r="H3" s="9" t="s">
        <v>384</v>
      </c>
      <c r="I3" s="15">
        <v>900126632</v>
      </c>
      <c r="J3" s="16" t="s">
        <v>385</v>
      </c>
      <c r="K3" s="17">
        <v>763.42</v>
      </c>
      <c r="L3" s="18" t="s">
        <v>1139</v>
      </c>
      <c r="M3" s="19">
        <v>209142.89060571967</v>
      </c>
      <c r="N3" s="19">
        <f t="shared" ref="N3:N8" si="1">M3*0.19</f>
        <v>39737.149215086742</v>
      </c>
      <c r="O3" s="19">
        <f t="shared" si="0"/>
        <v>190000000.00000003</v>
      </c>
      <c r="P3" s="17" t="s">
        <v>87</v>
      </c>
    </row>
    <row r="4" spans="1:16" x14ac:dyDescent="0.3">
      <c r="A4" s="9" t="s">
        <v>558</v>
      </c>
      <c r="B4" s="10" t="s">
        <v>619</v>
      </c>
      <c r="C4" s="28" t="s">
        <v>1793</v>
      </c>
      <c r="D4" s="12">
        <v>44027</v>
      </c>
      <c r="E4" s="12">
        <v>44028</v>
      </c>
      <c r="F4" s="13">
        <v>28455875</v>
      </c>
      <c r="G4" s="14">
        <v>12131931</v>
      </c>
      <c r="H4" s="9" t="s">
        <v>620</v>
      </c>
      <c r="I4" s="15">
        <v>88206625</v>
      </c>
      <c r="J4" s="16" t="s">
        <v>1967</v>
      </c>
      <c r="K4" s="17">
        <v>43</v>
      </c>
      <c r="L4" s="18" t="s">
        <v>21</v>
      </c>
      <c r="M4" s="19">
        <f>(28455875/43)/1.19</f>
        <v>556104.65116279072</v>
      </c>
      <c r="N4" s="19">
        <f t="shared" si="1"/>
        <v>105659.88372093024</v>
      </c>
      <c r="O4" s="19">
        <f>K4*(M4+N4)</f>
        <v>28455875</v>
      </c>
      <c r="P4" s="17" t="s">
        <v>87</v>
      </c>
    </row>
    <row r="5" spans="1:16" x14ac:dyDescent="0.3">
      <c r="A5" s="9" t="s">
        <v>558</v>
      </c>
      <c r="B5" s="10" t="s">
        <v>626</v>
      </c>
      <c r="C5" s="28" t="s">
        <v>1796</v>
      </c>
      <c r="D5" s="12">
        <v>44174</v>
      </c>
      <c r="E5" s="12">
        <v>44175</v>
      </c>
      <c r="F5" s="13">
        <v>65937900</v>
      </c>
      <c r="G5" s="14">
        <v>0</v>
      </c>
      <c r="H5" s="9" t="s">
        <v>627</v>
      </c>
      <c r="I5" s="15">
        <v>88206625</v>
      </c>
      <c r="J5" s="16" t="s">
        <v>628</v>
      </c>
      <c r="K5" s="17">
        <v>87</v>
      </c>
      <c r="L5" s="18" t="s">
        <v>21</v>
      </c>
      <c r="M5" s="19">
        <f>55410000/87</f>
        <v>636896.55172413797</v>
      </c>
      <c r="N5" s="19">
        <f t="shared" si="1"/>
        <v>121010.34482758622</v>
      </c>
      <c r="O5" s="19">
        <f t="shared" ref="O5:O14" si="2">K5*(M5+N5)</f>
        <v>65937900</v>
      </c>
      <c r="P5" s="17" t="s">
        <v>87</v>
      </c>
    </row>
    <row r="6" spans="1:16" x14ac:dyDescent="0.3">
      <c r="A6" s="33" t="s">
        <v>690</v>
      </c>
      <c r="B6" s="33" t="s">
        <v>784</v>
      </c>
      <c r="C6" s="33" t="s">
        <v>1799</v>
      </c>
      <c r="D6" s="34">
        <v>44064</v>
      </c>
      <c r="E6" s="34">
        <v>44068</v>
      </c>
      <c r="F6" s="35">
        <v>31126711</v>
      </c>
      <c r="G6" s="14">
        <v>0</v>
      </c>
      <c r="H6" s="33" t="s">
        <v>785</v>
      </c>
      <c r="I6" s="36">
        <v>901309333</v>
      </c>
      <c r="J6" s="33" t="s">
        <v>1799</v>
      </c>
      <c r="K6" s="17">
        <v>218</v>
      </c>
      <c r="L6" s="37" t="s">
        <v>21</v>
      </c>
      <c r="M6" s="19">
        <v>119985.77981651376</v>
      </c>
      <c r="N6" s="19">
        <f t="shared" si="1"/>
        <v>22797.298165137614</v>
      </c>
      <c r="O6" s="19">
        <f t="shared" si="2"/>
        <v>31126711</v>
      </c>
      <c r="P6" s="33" t="s">
        <v>87</v>
      </c>
    </row>
    <row r="7" spans="1:16" x14ac:dyDescent="0.3">
      <c r="A7" s="9" t="s">
        <v>861</v>
      </c>
      <c r="B7" s="10" t="s">
        <v>914</v>
      </c>
      <c r="C7" s="11" t="s">
        <v>915</v>
      </c>
      <c r="D7" s="12">
        <v>43986</v>
      </c>
      <c r="E7" s="12">
        <v>43986</v>
      </c>
      <c r="F7" s="13">
        <v>39927000</v>
      </c>
      <c r="G7" s="14">
        <v>0</v>
      </c>
      <c r="H7" s="9" t="s">
        <v>916</v>
      </c>
      <c r="I7" s="15">
        <v>901031972</v>
      </c>
      <c r="J7" s="16" t="s">
        <v>917</v>
      </c>
      <c r="K7" s="17">
        <v>50</v>
      </c>
      <c r="L7" s="18" t="s">
        <v>21</v>
      </c>
      <c r="M7" s="19">
        <v>300000</v>
      </c>
      <c r="N7" s="19">
        <f t="shared" si="1"/>
        <v>57000</v>
      </c>
      <c r="O7" s="19">
        <f t="shared" si="2"/>
        <v>17850000</v>
      </c>
      <c r="P7" s="17" t="s">
        <v>87</v>
      </c>
    </row>
    <row r="8" spans="1:16" x14ac:dyDescent="0.3">
      <c r="A8" s="9" t="s">
        <v>861</v>
      </c>
      <c r="B8" s="10" t="s">
        <v>1000</v>
      </c>
      <c r="C8" s="11" t="s">
        <v>1816</v>
      </c>
      <c r="D8" s="12">
        <v>44180</v>
      </c>
      <c r="E8" s="12">
        <v>44181</v>
      </c>
      <c r="F8" s="13">
        <v>24955000</v>
      </c>
      <c r="G8" s="14">
        <v>0</v>
      </c>
      <c r="H8" s="9" t="s">
        <v>1001</v>
      </c>
      <c r="I8" s="15" t="s">
        <v>1002</v>
      </c>
      <c r="J8" s="16" t="s">
        <v>1003</v>
      </c>
      <c r="K8" s="17">
        <v>30</v>
      </c>
      <c r="L8" s="18" t="s">
        <v>21</v>
      </c>
      <c r="M8" s="19">
        <v>150000</v>
      </c>
      <c r="N8" s="19">
        <f t="shared" si="1"/>
        <v>28500</v>
      </c>
      <c r="O8" s="19">
        <f t="shared" si="2"/>
        <v>5355000</v>
      </c>
      <c r="P8" s="17" t="s">
        <v>87</v>
      </c>
    </row>
    <row r="9" spans="1:16" x14ac:dyDescent="0.3">
      <c r="A9" s="9" t="s">
        <v>1091</v>
      </c>
      <c r="B9" s="10" t="s">
        <v>2051</v>
      </c>
      <c r="C9" s="11" t="s">
        <v>1136</v>
      </c>
      <c r="D9" s="12">
        <v>43990</v>
      </c>
      <c r="E9" s="12">
        <v>43992</v>
      </c>
      <c r="F9" s="13">
        <v>57691400</v>
      </c>
      <c r="G9" s="14">
        <v>0</v>
      </c>
      <c r="H9" s="9" t="s">
        <v>1137</v>
      </c>
      <c r="I9" s="15">
        <v>830014921</v>
      </c>
      <c r="J9" s="16" t="s">
        <v>1138</v>
      </c>
      <c r="K9" s="17">
        <v>44.9</v>
      </c>
      <c r="L9" s="18" t="s">
        <v>1139</v>
      </c>
      <c r="M9" s="19">
        <v>450000</v>
      </c>
      <c r="N9" s="19">
        <v>0</v>
      </c>
      <c r="O9" s="19">
        <f t="shared" si="2"/>
        <v>20205000</v>
      </c>
      <c r="P9" s="17" t="s">
        <v>87</v>
      </c>
    </row>
    <row r="10" spans="1:16" x14ac:dyDescent="0.3">
      <c r="A10" s="9" t="s">
        <v>1091</v>
      </c>
      <c r="B10" s="10" t="s">
        <v>2051</v>
      </c>
      <c r="C10" s="11" t="s">
        <v>1136</v>
      </c>
      <c r="D10" s="12">
        <v>43990</v>
      </c>
      <c r="E10" s="12">
        <v>43992</v>
      </c>
      <c r="F10" s="13">
        <v>57691400</v>
      </c>
      <c r="G10" s="14">
        <v>0</v>
      </c>
      <c r="H10" s="9" t="s">
        <v>1137</v>
      </c>
      <c r="I10" s="15">
        <v>830014921</v>
      </c>
      <c r="J10" s="16" t="s">
        <v>1140</v>
      </c>
      <c r="K10" s="17">
        <v>107.6</v>
      </c>
      <c r="L10" s="18" t="s">
        <v>1139</v>
      </c>
      <c r="M10" s="19">
        <v>189000</v>
      </c>
      <c r="N10" s="19">
        <v>0</v>
      </c>
      <c r="O10" s="19">
        <f t="shared" si="2"/>
        <v>20336400</v>
      </c>
      <c r="P10" s="17" t="s">
        <v>87</v>
      </c>
    </row>
    <row r="11" spans="1:16" x14ac:dyDescent="0.3">
      <c r="A11" s="9" t="s">
        <v>1091</v>
      </c>
      <c r="B11" s="10" t="s">
        <v>2051</v>
      </c>
      <c r="C11" s="11" t="s">
        <v>1136</v>
      </c>
      <c r="D11" s="12">
        <v>43990</v>
      </c>
      <c r="E11" s="12">
        <v>43992</v>
      </c>
      <c r="F11" s="13">
        <v>0</v>
      </c>
      <c r="G11" s="14">
        <v>14563079</v>
      </c>
      <c r="H11" s="9" t="s">
        <v>1137</v>
      </c>
      <c r="I11" s="15">
        <v>830014921</v>
      </c>
      <c r="J11" s="16" t="s">
        <v>1138</v>
      </c>
      <c r="K11" s="17">
        <v>32.362397780000002</v>
      </c>
      <c r="L11" s="18" t="s">
        <v>1139</v>
      </c>
      <c r="M11" s="19">
        <v>450000</v>
      </c>
      <c r="N11" s="19">
        <v>0</v>
      </c>
      <c r="O11" s="19">
        <f t="shared" si="2"/>
        <v>14563079.001</v>
      </c>
      <c r="P11" s="17" t="s">
        <v>87</v>
      </c>
    </row>
    <row r="12" spans="1:16" x14ac:dyDescent="0.3">
      <c r="A12" s="9" t="s">
        <v>1306</v>
      </c>
      <c r="B12" s="10" t="s">
        <v>1319</v>
      </c>
      <c r="C12" s="11" t="s">
        <v>1320</v>
      </c>
      <c r="D12" s="12">
        <v>44005</v>
      </c>
      <c r="E12" s="12">
        <v>44005</v>
      </c>
      <c r="F12" s="13">
        <v>32130000</v>
      </c>
      <c r="G12" s="14">
        <v>0</v>
      </c>
      <c r="H12" s="9" t="s">
        <v>1321</v>
      </c>
      <c r="I12" s="15">
        <v>79391917</v>
      </c>
      <c r="J12" s="16" t="s">
        <v>1322</v>
      </c>
      <c r="K12" s="17">
        <v>200</v>
      </c>
      <c r="L12" s="18" t="s">
        <v>21</v>
      </c>
      <c r="M12" s="19">
        <v>135000</v>
      </c>
      <c r="N12" s="19">
        <f>M12*0.19</f>
        <v>25650</v>
      </c>
      <c r="O12" s="19">
        <f t="shared" si="2"/>
        <v>32130000</v>
      </c>
      <c r="P12" s="17" t="s">
        <v>87</v>
      </c>
    </row>
    <row r="13" spans="1:16" x14ac:dyDescent="0.3">
      <c r="A13" s="9" t="s">
        <v>1571</v>
      </c>
      <c r="B13" s="10" t="s">
        <v>2110</v>
      </c>
      <c r="C13" s="11" t="s">
        <v>1830</v>
      </c>
      <c r="D13" s="12">
        <v>44140</v>
      </c>
      <c r="E13" s="12">
        <v>44140</v>
      </c>
      <c r="F13" s="13">
        <v>9558000</v>
      </c>
      <c r="G13" s="14">
        <v>0</v>
      </c>
      <c r="H13" s="9" t="s">
        <v>1625</v>
      </c>
      <c r="I13" s="15">
        <v>6770611</v>
      </c>
      <c r="J13" s="16" t="s">
        <v>1626</v>
      </c>
      <c r="K13" s="17">
        <v>60</v>
      </c>
      <c r="L13" s="18" t="s">
        <v>21</v>
      </c>
      <c r="M13" s="19">
        <v>64900</v>
      </c>
      <c r="N13" s="19">
        <v>0</v>
      </c>
      <c r="O13" s="19">
        <f t="shared" si="2"/>
        <v>3894000</v>
      </c>
      <c r="P13" s="17" t="s">
        <v>87</v>
      </c>
    </row>
    <row r="14" spans="1:16" x14ac:dyDescent="0.3">
      <c r="A14" s="9" t="s">
        <v>1571</v>
      </c>
      <c r="B14" s="10" t="s">
        <v>2110</v>
      </c>
      <c r="C14" s="11" t="s">
        <v>1830</v>
      </c>
      <c r="D14" s="12">
        <v>44140</v>
      </c>
      <c r="E14" s="12">
        <v>44140</v>
      </c>
      <c r="F14" s="13">
        <v>9558000</v>
      </c>
      <c r="G14" s="14">
        <v>0</v>
      </c>
      <c r="H14" s="9" t="s">
        <v>1625</v>
      </c>
      <c r="I14" s="15">
        <v>6770611</v>
      </c>
      <c r="J14" s="16" t="s">
        <v>1627</v>
      </c>
      <c r="K14" s="17">
        <v>60</v>
      </c>
      <c r="L14" s="18" t="s">
        <v>21</v>
      </c>
      <c r="M14" s="19">
        <v>94900</v>
      </c>
      <c r="N14" s="19">
        <v>0</v>
      </c>
      <c r="O14" s="19">
        <f t="shared" si="2"/>
        <v>5694000</v>
      </c>
      <c r="P14" s="17" t="s">
        <v>87</v>
      </c>
    </row>
  </sheetData>
  <dataValidations count="10">
    <dataValidation type="date" allowBlank="1" showInputMessage="1" errorTitle="Entrada no válida" error="Por favor escriba una fecha válida (AAAA/MM/DD)" promptTitle="Ingrese una fecha (AAAA/MM/DD)" prompt=" Registre la fecha en la cual se SUSCRIBIÓ el contrato  (Formato AAAA/MM/DD)." sqref="D3 D6:D7">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 E3:E7 E12">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F4 F6:F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A8">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 I6:I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 H6:H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B4 B6:B8">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8:E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4:G5">
      <formula1>-9223372036854770000</formula1>
      <formula2>9223372036854770000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UHN1027"/>
  <sheetViews>
    <sheetView tabSelected="1" zoomScale="85" zoomScaleNormal="85" workbookViewId="0">
      <pane xSplit="2" ySplit="1" topLeftCell="C2" activePane="bottomRight" state="frozen"/>
      <selection pane="topRight" activeCell="C1" sqref="C1"/>
      <selection pane="bottomLeft" activeCell="A2" sqref="A2"/>
      <selection pane="bottomRight"/>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style="41" customWidth="1"/>
    <col min="7" max="7" width="18.33203125" style="41" customWidth="1"/>
    <col min="8" max="8" width="17.109375" customWidth="1"/>
    <col min="9" max="9" width="19.33203125" customWidth="1"/>
    <col min="10" max="10" width="38.109375" customWidth="1"/>
    <col min="11" max="11" width="14.77734375" style="47" bestFit="1" customWidth="1"/>
    <col min="12" max="12" width="27.6640625" style="42" bestFit="1" customWidth="1"/>
    <col min="13" max="13" width="20.6640625" style="31" bestFit="1" customWidth="1"/>
    <col min="14" max="14" width="11.88671875" style="31" bestFit="1" customWidth="1"/>
    <col min="15" max="15" width="17.5546875" style="31" bestFit="1" customWidth="1"/>
    <col min="16" max="16" width="43.33203125" bestFit="1" customWidth="1"/>
    <col min="17" max="17" width="14.109375" customWidth="1"/>
    <col min="18" max="18" width="13.88671875" customWidth="1"/>
    <col min="19" max="19" width="19.33203125" customWidth="1"/>
    <col min="20" max="20" width="16.44140625" bestFit="1" customWidth="1"/>
    <col min="21" max="21" width="14.33203125" bestFit="1" customWidth="1"/>
    <col min="22" max="22" width="11.88671875" bestFit="1" customWidth="1"/>
  </cols>
  <sheetData>
    <row r="1" spans="1:18"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8" x14ac:dyDescent="0.3">
      <c r="A2" s="9" t="s">
        <v>16</v>
      </c>
      <c r="B2" s="10" t="s">
        <v>1981</v>
      </c>
      <c r="C2" s="11" t="s">
        <v>18</v>
      </c>
      <c r="D2" s="12">
        <v>43910</v>
      </c>
      <c r="E2" s="12">
        <v>43910</v>
      </c>
      <c r="F2" s="13">
        <v>2573970</v>
      </c>
      <c r="G2" s="14">
        <v>0</v>
      </c>
      <c r="H2" s="9" t="s">
        <v>19</v>
      </c>
      <c r="I2" s="15">
        <v>901095058</v>
      </c>
      <c r="J2" s="16" t="s">
        <v>20</v>
      </c>
      <c r="K2" s="17">
        <v>100</v>
      </c>
      <c r="L2" s="18" t="s">
        <v>21</v>
      </c>
      <c r="M2" s="19">
        <v>15700</v>
      </c>
      <c r="N2" s="19">
        <f>M2*0.19</f>
        <v>2983</v>
      </c>
      <c r="O2" s="19">
        <f>K2*(M2+N2)</f>
        <v>1868300</v>
      </c>
      <c r="P2" s="17" t="s">
        <v>22</v>
      </c>
      <c r="R2" s="31"/>
    </row>
    <row r="3" spans="1:18" x14ac:dyDescent="0.3">
      <c r="A3" s="9" t="s">
        <v>16</v>
      </c>
      <c r="B3" s="10" t="s">
        <v>1981</v>
      </c>
      <c r="C3" s="11" t="s">
        <v>18</v>
      </c>
      <c r="D3" s="12">
        <v>43910</v>
      </c>
      <c r="E3" s="12">
        <v>43910</v>
      </c>
      <c r="F3" s="13">
        <v>2573970</v>
      </c>
      <c r="G3" s="14">
        <v>0</v>
      </c>
      <c r="H3" s="9" t="s">
        <v>19</v>
      </c>
      <c r="I3" s="15">
        <v>901095058</v>
      </c>
      <c r="J3" s="16" t="s">
        <v>23</v>
      </c>
      <c r="K3" s="17">
        <v>12</v>
      </c>
      <c r="L3" s="20" t="s">
        <v>24</v>
      </c>
      <c r="M3" s="19">
        <v>6500</v>
      </c>
      <c r="N3" s="19">
        <f>M3*0.19</f>
        <v>1235</v>
      </c>
      <c r="O3" s="19">
        <f t="shared" ref="O3:O62" si="0">K3*(M3+N3)</f>
        <v>92820</v>
      </c>
      <c r="P3" s="21" t="s">
        <v>25</v>
      </c>
      <c r="R3" s="31"/>
    </row>
    <row r="4" spans="1:18" x14ac:dyDescent="0.3">
      <c r="A4" s="9" t="s">
        <v>16</v>
      </c>
      <c r="B4" s="10" t="s">
        <v>1981</v>
      </c>
      <c r="C4" s="11" t="s">
        <v>18</v>
      </c>
      <c r="D4" s="12">
        <v>43910</v>
      </c>
      <c r="E4" s="12">
        <v>43910</v>
      </c>
      <c r="F4" s="13">
        <v>2573970</v>
      </c>
      <c r="G4" s="14">
        <v>0</v>
      </c>
      <c r="H4" s="9" t="s">
        <v>19</v>
      </c>
      <c r="I4" s="15">
        <v>901095058</v>
      </c>
      <c r="J4" s="16" t="s">
        <v>26</v>
      </c>
      <c r="K4" s="17">
        <v>50</v>
      </c>
      <c r="L4" s="18" t="s">
        <v>21</v>
      </c>
      <c r="M4" s="19">
        <v>10300</v>
      </c>
      <c r="N4" s="19">
        <f t="shared" ref="N4:N7" si="1">M4*0.19</f>
        <v>1957</v>
      </c>
      <c r="O4" s="19">
        <f t="shared" si="0"/>
        <v>612850</v>
      </c>
      <c r="P4" s="17" t="s">
        <v>412</v>
      </c>
      <c r="R4" s="31"/>
    </row>
    <row r="5" spans="1:18" x14ac:dyDescent="0.3">
      <c r="A5" s="9" t="s">
        <v>16</v>
      </c>
      <c r="B5" s="10" t="s">
        <v>1982</v>
      </c>
      <c r="C5" s="11" t="s">
        <v>28</v>
      </c>
      <c r="D5" s="12">
        <v>43916</v>
      </c>
      <c r="E5" s="12">
        <v>43919</v>
      </c>
      <c r="F5" s="13">
        <v>7000000</v>
      </c>
      <c r="G5" s="14">
        <v>0</v>
      </c>
      <c r="H5" s="9" t="s">
        <v>29</v>
      </c>
      <c r="I5" s="15">
        <v>900173793</v>
      </c>
      <c r="J5" s="16" t="s">
        <v>30</v>
      </c>
      <c r="K5" s="17">
        <v>7000</v>
      </c>
      <c r="L5" s="18" t="s">
        <v>21</v>
      </c>
      <c r="M5" s="19">
        <v>840.33609999999999</v>
      </c>
      <c r="N5" s="19">
        <f t="shared" si="1"/>
        <v>159.663859</v>
      </c>
      <c r="O5" s="19">
        <f t="shared" si="0"/>
        <v>6999999.7129999995</v>
      </c>
      <c r="P5" s="17" t="s">
        <v>31</v>
      </c>
      <c r="R5" s="31"/>
    </row>
    <row r="6" spans="1:18" x14ac:dyDescent="0.3">
      <c r="A6" s="9" t="s">
        <v>16</v>
      </c>
      <c r="B6" s="10" t="s">
        <v>1983</v>
      </c>
      <c r="C6" s="11" t="s">
        <v>33</v>
      </c>
      <c r="D6" s="12">
        <v>43923</v>
      </c>
      <c r="E6" s="12">
        <v>43928</v>
      </c>
      <c r="F6" s="13">
        <v>11804524</v>
      </c>
      <c r="G6" s="14">
        <v>0</v>
      </c>
      <c r="H6" s="9" t="s">
        <v>34</v>
      </c>
      <c r="I6" s="15">
        <v>900742771</v>
      </c>
      <c r="J6" s="16" t="s">
        <v>35</v>
      </c>
      <c r="K6" s="17">
        <v>760</v>
      </c>
      <c r="L6" s="18" t="s">
        <v>36</v>
      </c>
      <c r="M6" s="19">
        <v>11795.263156999999</v>
      </c>
      <c r="N6" s="19">
        <f t="shared" si="1"/>
        <v>2241.0999998299999</v>
      </c>
      <c r="O6" s="19">
        <f t="shared" si="0"/>
        <v>10667635.9991908</v>
      </c>
      <c r="P6" s="17" t="s">
        <v>37</v>
      </c>
      <c r="R6" s="31"/>
    </row>
    <row r="7" spans="1:18" x14ac:dyDescent="0.3">
      <c r="A7" s="9" t="s">
        <v>16</v>
      </c>
      <c r="B7" s="10" t="s">
        <v>1983</v>
      </c>
      <c r="C7" s="11" t="s">
        <v>33</v>
      </c>
      <c r="D7" s="12">
        <v>43923</v>
      </c>
      <c r="E7" s="12">
        <v>43928</v>
      </c>
      <c r="F7" s="13">
        <v>11804524</v>
      </c>
      <c r="G7" s="14">
        <v>0</v>
      </c>
      <c r="H7" s="9" t="s">
        <v>34</v>
      </c>
      <c r="I7" s="15">
        <v>900742771</v>
      </c>
      <c r="J7" s="16" t="s">
        <v>38</v>
      </c>
      <c r="K7" s="46">
        <v>108</v>
      </c>
      <c r="L7" s="18" t="s">
        <v>36</v>
      </c>
      <c r="M7" s="19">
        <v>8846</v>
      </c>
      <c r="N7" s="19">
        <f t="shared" si="1"/>
        <v>1680.74</v>
      </c>
      <c r="O7" s="19">
        <f t="shared" si="0"/>
        <v>1136887.92</v>
      </c>
      <c r="P7" s="17" t="s">
        <v>39</v>
      </c>
      <c r="R7" s="31"/>
    </row>
    <row r="8" spans="1:18" x14ac:dyDescent="0.3">
      <c r="A8" s="9" t="s">
        <v>16</v>
      </c>
      <c r="B8" s="10" t="s">
        <v>40</v>
      </c>
      <c r="C8" s="11" t="s">
        <v>41</v>
      </c>
      <c r="D8" s="12">
        <v>43999</v>
      </c>
      <c r="E8" s="12">
        <v>43999</v>
      </c>
      <c r="F8" s="13">
        <v>42000000</v>
      </c>
      <c r="G8" s="14">
        <v>0</v>
      </c>
      <c r="H8" s="9" t="s">
        <v>42</v>
      </c>
      <c r="I8" s="15">
        <v>890000547</v>
      </c>
      <c r="J8" s="16" t="s">
        <v>43</v>
      </c>
      <c r="K8" s="17">
        <v>6</v>
      </c>
      <c r="L8" s="18" t="s">
        <v>44</v>
      </c>
      <c r="M8" s="19">
        <v>2000000</v>
      </c>
      <c r="N8" s="19">
        <v>0</v>
      </c>
      <c r="O8" s="19">
        <f>(K8*(M8+N8))*3.5</f>
        <v>42000000</v>
      </c>
      <c r="P8" s="17" t="s">
        <v>45</v>
      </c>
      <c r="R8" s="31"/>
    </row>
    <row r="9" spans="1:18" x14ac:dyDescent="0.3">
      <c r="A9" s="9" t="s">
        <v>16</v>
      </c>
      <c r="B9" s="10" t="s">
        <v>46</v>
      </c>
      <c r="C9" s="11" t="s">
        <v>47</v>
      </c>
      <c r="D9" s="12">
        <v>43967</v>
      </c>
      <c r="E9" s="12">
        <v>43967</v>
      </c>
      <c r="F9" s="13">
        <v>3675000</v>
      </c>
      <c r="G9" s="14">
        <v>0</v>
      </c>
      <c r="H9" s="9" t="s">
        <v>48</v>
      </c>
      <c r="I9" s="15">
        <v>901243179</v>
      </c>
      <c r="J9" s="16" t="s">
        <v>49</v>
      </c>
      <c r="K9" s="17">
        <v>4000</v>
      </c>
      <c r="L9" s="18" t="s">
        <v>21</v>
      </c>
      <c r="M9" s="19">
        <v>772.05880000000002</v>
      </c>
      <c r="N9" s="19">
        <f t="shared" ref="N9:N17" si="2">M9*0.19</f>
        <v>146.69117199999999</v>
      </c>
      <c r="O9" s="19">
        <f t="shared" si="0"/>
        <v>3674999.8880000003</v>
      </c>
      <c r="P9" s="17" t="s">
        <v>31</v>
      </c>
      <c r="R9" s="31"/>
    </row>
    <row r="10" spans="1:18" x14ac:dyDescent="0.3">
      <c r="A10" s="9" t="s">
        <v>16</v>
      </c>
      <c r="B10" s="10" t="s">
        <v>50</v>
      </c>
      <c r="C10" s="11" t="s">
        <v>47</v>
      </c>
      <c r="D10" s="12">
        <v>43967</v>
      </c>
      <c r="E10" s="12">
        <v>43967</v>
      </c>
      <c r="F10" s="13">
        <v>2546740</v>
      </c>
      <c r="G10" s="14">
        <v>0</v>
      </c>
      <c r="H10" s="9" t="s">
        <v>51</v>
      </c>
      <c r="I10" s="15">
        <v>900906970</v>
      </c>
      <c r="J10" s="16" t="s">
        <v>52</v>
      </c>
      <c r="K10" s="17">
        <v>130</v>
      </c>
      <c r="L10" s="18" t="s">
        <v>53</v>
      </c>
      <c r="M10" s="19">
        <v>16462.439999999999</v>
      </c>
      <c r="N10" s="19">
        <f t="shared" si="2"/>
        <v>3127.8635999999997</v>
      </c>
      <c r="O10" s="19">
        <f t="shared" si="0"/>
        <v>2546739.4679999999</v>
      </c>
      <c r="P10" s="17" t="s">
        <v>54</v>
      </c>
      <c r="R10" s="31"/>
    </row>
    <row r="11" spans="1:18" x14ac:dyDescent="0.3">
      <c r="A11" s="9" t="s">
        <v>16</v>
      </c>
      <c r="B11" s="10" t="s">
        <v>55</v>
      </c>
      <c r="C11" s="11" t="s">
        <v>47</v>
      </c>
      <c r="D11" s="12">
        <v>43967</v>
      </c>
      <c r="E11" s="12">
        <v>43967</v>
      </c>
      <c r="F11" s="13">
        <v>7646052</v>
      </c>
      <c r="G11" s="14">
        <v>0</v>
      </c>
      <c r="H11" s="9" t="s">
        <v>56</v>
      </c>
      <c r="I11" s="15">
        <v>900300970</v>
      </c>
      <c r="J11" s="16" t="s">
        <v>57</v>
      </c>
      <c r="K11" s="17">
        <v>400</v>
      </c>
      <c r="L11" s="18" t="s">
        <v>53</v>
      </c>
      <c r="M11" s="19">
        <v>16063.13</v>
      </c>
      <c r="N11" s="19">
        <f t="shared" si="2"/>
        <v>3051.9946999999997</v>
      </c>
      <c r="O11" s="19">
        <f t="shared" si="0"/>
        <v>7646049.8799999999</v>
      </c>
      <c r="P11" s="21" t="s">
        <v>656</v>
      </c>
      <c r="R11" s="31"/>
    </row>
    <row r="12" spans="1:18" x14ac:dyDescent="0.3">
      <c r="A12" s="9" t="s">
        <v>16</v>
      </c>
      <c r="B12" s="10" t="s">
        <v>59</v>
      </c>
      <c r="C12" s="11" t="s">
        <v>47</v>
      </c>
      <c r="D12" s="12">
        <v>43967</v>
      </c>
      <c r="E12" s="12">
        <v>43967</v>
      </c>
      <c r="F12" s="13">
        <v>12450001</v>
      </c>
      <c r="G12" s="14">
        <v>0</v>
      </c>
      <c r="H12" s="9" t="s">
        <v>60</v>
      </c>
      <c r="I12" s="15">
        <v>830001338</v>
      </c>
      <c r="J12" s="16" t="s">
        <v>35</v>
      </c>
      <c r="K12" s="17">
        <v>1520</v>
      </c>
      <c r="L12" s="18" t="s">
        <v>36</v>
      </c>
      <c r="M12" s="19">
        <v>6883.0169159999996</v>
      </c>
      <c r="N12" s="19">
        <f t="shared" si="2"/>
        <v>1307.7732140399999</v>
      </c>
      <c r="O12" s="19">
        <f t="shared" si="0"/>
        <v>12450000.997660799</v>
      </c>
      <c r="P12" s="17" t="s">
        <v>37</v>
      </c>
      <c r="R12" s="31"/>
    </row>
    <row r="13" spans="1:18" x14ac:dyDescent="0.3">
      <c r="A13" s="9" t="s">
        <v>16</v>
      </c>
      <c r="B13" s="10" t="s">
        <v>61</v>
      </c>
      <c r="C13" s="11" t="s">
        <v>62</v>
      </c>
      <c r="D13" s="12">
        <v>43985</v>
      </c>
      <c r="E13" s="12">
        <v>43985</v>
      </c>
      <c r="F13" s="13">
        <v>3379880</v>
      </c>
      <c r="G13" s="14">
        <v>0</v>
      </c>
      <c r="H13" s="9" t="s">
        <v>63</v>
      </c>
      <c r="I13" s="15">
        <v>890900943</v>
      </c>
      <c r="J13" s="16" t="s">
        <v>64</v>
      </c>
      <c r="K13" s="17">
        <v>7</v>
      </c>
      <c r="L13" s="18" t="s">
        <v>21</v>
      </c>
      <c r="M13" s="19">
        <v>405747.9</v>
      </c>
      <c r="N13" s="19">
        <f t="shared" si="2"/>
        <v>77092.10100000001</v>
      </c>
      <c r="O13" s="19">
        <f t="shared" si="0"/>
        <v>3379880.0070000002</v>
      </c>
      <c r="P13" s="17" t="s">
        <v>65</v>
      </c>
      <c r="R13" s="31"/>
    </row>
    <row r="14" spans="1:18" x14ac:dyDescent="0.3">
      <c r="A14" s="9" t="s">
        <v>16</v>
      </c>
      <c r="B14" s="10" t="s">
        <v>66</v>
      </c>
      <c r="C14" s="11" t="s">
        <v>67</v>
      </c>
      <c r="D14" s="12">
        <v>43985</v>
      </c>
      <c r="E14" s="12">
        <v>43985</v>
      </c>
      <c r="F14" s="13">
        <v>6047350</v>
      </c>
      <c r="G14" s="14">
        <v>0</v>
      </c>
      <c r="H14" s="9" t="s">
        <v>68</v>
      </c>
      <c r="I14" s="15">
        <v>900350133</v>
      </c>
      <c r="J14" s="16" t="s">
        <v>69</v>
      </c>
      <c r="K14" s="17">
        <v>110</v>
      </c>
      <c r="L14" s="18" t="s">
        <v>70</v>
      </c>
      <c r="M14" s="19">
        <v>46198.239999999998</v>
      </c>
      <c r="N14" s="19">
        <f t="shared" si="2"/>
        <v>8777.6656000000003</v>
      </c>
      <c r="O14" s="19">
        <f t="shared" si="0"/>
        <v>6047349.6159999995</v>
      </c>
      <c r="P14" s="17" t="s">
        <v>69</v>
      </c>
      <c r="R14" s="31"/>
    </row>
    <row r="15" spans="1:18" x14ac:dyDescent="0.3">
      <c r="A15" s="9" t="s">
        <v>16</v>
      </c>
      <c r="B15" s="10" t="s">
        <v>71</v>
      </c>
      <c r="C15" s="11" t="s">
        <v>72</v>
      </c>
      <c r="D15" s="12">
        <v>43987</v>
      </c>
      <c r="E15" s="12">
        <v>43987</v>
      </c>
      <c r="F15" s="13">
        <v>9023000</v>
      </c>
      <c r="G15" s="14">
        <v>0</v>
      </c>
      <c r="H15" s="9" t="s">
        <v>73</v>
      </c>
      <c r="I15" s="15">
        <v>860062147</v>
      </c>
      <c r="J15" s="16" t="s">
        <v>74</v>
      </c>
      <c r="K15" s="17">
        <v>671</v>
      </c>
      <c r="L15" s="18" t="s">
        <v>21</v>
      </c>
      <c r="M15" s="19">
        <v>11300.08</v>
      </c>
      <c r="N15" s="19">
        <f t="shared" si="2"/>
        <v>2147.0151999999998</v>
      </c>
      <c r="O15" s="19">
        <f t="shared" si="0"/>
        <v>9023000.8792000003</v>
      </c>
      <c r="P15" s="17" t="s">
        <v>75</v>
      </c>
      <c r="R15" s="31"/>
    </row>
    <row r="16" spans="1:18" x14ac:dyDescent="0.3">
      <c r="A16" s="9" t="s">
        <v>16</v>
      </c>
      <c r="B16" s="10" t="s">
        <v>76</v>
      </c>
      <c r="C16" s="11" t="s">
        <v>77</v>
      </c>
      <c r="D16" s="12">
        <v>44007</v>
      </c>
      <c r="E16" s="12">
        <v>44007</v>
      </c>
      <c r="F16" s="13">
        <v>1631000</v>
      </c>
      <c r="G16" s="14">
        <v>0</v>
      </c>
      <c r="H16" s="9" t="s">
        <v>63</v>
      </c>
      <c r="I16" s="15">
        <v>890900943</v>
      </c>
      <c r="J16" s="16" t="s">
        <v>78</v>
      </c>
      <c r="K16" s="17">
        <v>7</v>
      </c>
      <c r="L16" s="18" t="s">
        <v>21</v>
      </c>
      <c r="M16" s="19">
        <v>195798.32</v>
      </c>
      <c r="N16" s="19">
        <f t="shared" si="2"/>
        <v>37201.680800000002</v>
      </c>
      <c r="O16" s="19">
        <f t="shared" si="0"/>
        <v>1631000.0056</v>
      </c>
      <c r="P16" s="17" t="s">
        <v>65</v>
      </c>
      <c r="R16" s="31"/>
    </row>
    <row r="17" spans="1:21" x14ac:dyDescent="0.3">
      <c r="A17" s="9" t="s">
        <v>16</v>
      </c>
      <c r="B17" s="10" t="s">
        <v>79</v>
      </c>
      <c r="C17" s="11" t="s">
        <v>80</v>
      </c>
      <c r="D17" s="12">
        <v>44012</v>
      </c>
      <c r="E17" s="12">
        <v>44012</v>
      </c>
      <c r="F17" s="13">
        <v>11342250</v>
      </c>
      <c r="G17" s="14">
        <v>0</v>
      </c>
      <c r="H17" s="9" t="s">
        <v>63</v>
      </c>
      <c r="I17" s="15">
        <v>890900943</v>
      </c>
      <c r="J17" s="16" t="s">
        <v>81</v>
      </c>
      <c r="K17" s="17">
        <v>45</v>
      </c>
      <c r="L17" s="18" t="s">
        <v>21</v>
      </c>
      <c r="M17" s="19">
        <v>211806.72</v>
      </c>
      <c r="N17" s="19">
        <f t="shared" si="2"/>
        <v>40243.2768</v>
      </c>
      <c r="O17" s="19">
        <f t="shared" si="0"/>
        <v>11342249.856000001</v>
      </c>
      <c r="P17" s="17" t="s">
        <v>82</v>
      </c>
      <c r="R17" s="31"/>
    </row>
    <row r="18" spans="1:21" x14ac:dyDescent="0.3">
      <c r="A18" s="9" t="s">
        <v>16</v>
      </c>
      <c r="B18" s="10" t="s">
        <v>83</v>
      </c>
      <c r="C18" s="11" t="s">
        <v>84</v>
      </c>
      <c r="D18" s="12">
        <v>44029</v>
      </c>
      <c r="E18" s="12">
        <v>44039</v>
      </c>
      <c r="F18" s="13">
        <v>17828727</v>
      </c>
      <c r="G18" s="14">
        <v>0</v>
      </c>
      <c r="H18" s="9" t="s">
        <v>85</v>
      </c>
      <c r="I18" s="15">
        <v>1030574087</v>
      </c>
      <c r="J18" s="16" t="s">
        <v>86</v>
      </c>
      <c r="K18" s="17">
        <v>60</v>
      </c>
      <c r="L18" s="18" t="s">
        <v>21</v>
      </c>
      <c r="M18" s="19">
        <v>297145.45</v>
      </c>
      <c r="N18" s="19">
        <v>0</v>
      </c>
      <c r="O18" s="19">
        <f t="shared" si="0"/>
        <v>17828727</v>
      </c>
      <c r="P18" s="17" t="s">
        <v>87</v>
      </c>
      <c r="R18" s="31"/>
    </row>
    <row r="19" spans="1:21" x14ac:dyDescent="0.3">
      <c r="A19" s="9" t="s">
        <v>16</v>
      </c>
      <c r="B19" s="10" t="s">
        <v>88</v>
      </c>
      <c r="C19" s="11" t="s">
        <v>89</v>
      </c>
      <c r="D19" s="12">
        <v>44054</v>
      </c>
      <c r="E19" s="12">
        <v>44075</v>
      </c>
      <c r="F19" s="13">
        <v>37425024</v>
      </c>
      <c r="G19" s="14">
        <v>0</v>
      </c>
      <c r="H19" s="9" t="s">
        <v>90</v>
      </c>
      <c r="I19" s="15">
        <v>830053669</v>
      </c>
      <c r="J19" s="16" t="s">
        <v>91</v>
      </c>
      <c r="K19" s="17">
        <v>78</v>
      </c>
      <c r="L19" s="18" t="s">
        <v>92</v>
      </c>
      <c r="M19" s="19">
        <v>134400</v>
      </c>
      <c r="N19" s="19">
        <f>M19*0.19</f>
        <v>25536</v>
      </c>
      <c r="O19" s="19">
        <f>K19*(M19+N19)*3</f>
        <v>37425024</v>
      </c>
      <c r="P19" s="17" t="s">
        <v>93</v>
      </c>
      <c r="R19" s="31"/>
      <c r="S19" s="31"/>
      <c r="T19" s="31"/>
    </row>
    <row r="20" spans="1:21" x14ac:dyDescent="0.3">
      <c r="A20" s="9" t="s">
        <v>16</v>
      </c>
      <c r="B20" s="10" t="s">
        <v>94</v>
      </c>
      <c r="C20" s="11" t="s">
        <v>95</v>
      </c>
      <c r="D20" s="12">
        <v>44035</v>
      </c>
      <c r="E20" s="12">
        <v>44035</v>
      </c>
      <c r="F20" s="13">
        <v>3474800</v>
      </c>
      <c r="G20" s="14">
        <v>0</v>
      </c>
      <c r="H20" s="9" t="s">
        <v>96</v>
      </c>
      <c r="I20" s="15">
        <v>830037946</v>
      </c>
      <c r="J20" s="16" t="s">
        <v>97</v>
      </c>
      <c r="K20" s="17">
        <v>73</v>
      </c>
      <c r="L20" s="18" t="s">
        <v>21</v>
      </c>
      <c r="M20" s="19">
        <v>47600</v>
      </c>
      <c r="N20" s="19">
        <v>0</v>
      </c>
      <c r="O20" s="19">
        <f t="shared" si="0"/>
        <v>3474800</v>
      </c>
      <c r="P20" s="17" t="s">
        <v>98</v>
      </c>
      <c r="R20" s="31"/>
    </row>
    <row r="21" spans="1:21" x14ac:dyDescent="0.3">
      <c r="A21" s="9" t="s">
        <v>16</v>
      </c>
      <c r="B21" s="10" t="s">
        <v>99</v>
      </c>
      <c r="C21" s="11" t="s">
        <v>100</v>
      </c>
      <c r="D21" s="12">
        <v>44014</v>
      </c>
      <c r="E21" s="12">
        <v>44014</v>
      </c>
      <c r="F21" s="13">
        <v>64760194</v>
      </c>
      <c r="G21" s="14">
        <v>0</v>
      </c>
      <c r="H21" s="9" t="s">
        <v>101</v>
      </c>
      <c r="I21" s="15">
        <v>800242738</v>
      </c>
      <c r="J21" s="16" t="s">
        <v>1949</v>
      </c>
      <c r="K21" s="17">
        <v>13</v>
      </c>
      <c r="L21" s="18" t="s">
        <v>44</v>
      </c>
      <c r="M21" s="19">
        <v>1540686.61</v>
      </c>
      <c r="N21" s="19">
        <v>0</v>
      </c>
      <c r="O21" s="19">
        <f>(M21/30)*K21*97</f>
        <v>64760193.840333343</v>
      </c>
      <c r="P21" s="21" t="s">
        <v>102</v>
      </c>
      <c r="Q21" s="31"/>
      <c r="R21" s="13"/>
      <c r="S21" s="31"/>
      <c r="T21" s="31"/>
      <c r="U21" s="43"/>
    </row>
    <row r="22" spans="1:21" x14ac:dyDescent="0.3">
      <c r="A22" s="9" t="s">
        <v>16</v>
      </c>
      <c r="B22" s="10" t="s">
        <v>88</v>
      </c>
      <c r="C22" s="11" t="s">
        <v>89</v>
      </c>
      <c r="D22" s="12">
        <v>44054</v>
      </c>
      <c r="E22" s="12">
        <v>44075</v>
      </c>
      <c r="F22" s="22">
        <v>37425024</v>
      </c>
      <c r="G22" s="23">
        <v>6237504.7999999998</v>
      </c>
      <c r="H22" s="9" t="s">
        <v>90</v>
      </c>
      <c r="I22" s="15">
        <v>830053669</v>
      </c>
      <c r="J22" s="16" t="s">
        <v>103</v>
      </c>
      <c r="K22" s="17">
        <v>78</v>
      </c>
      <c r="L22" s="18" t="s">
        <v>92</v>
      </c>
      <c r="M22" s="19">
        <v>134400</v>
      </c>
      <c r="N22" s="19">
        <f t="shared" ref="N22:N24" si="3">M22*0.19</f>
        <v>25536</v>
      </c>
      <c r="O22" s="19">
        <f>K22*(M22+N22)*3.5</f>
        <v>43662528</v>
      </c>
      <c r="P22" s="17" t="s">
        <v>93</v>
      </c>
      <c r="R22" s="31"/>
    </row>
    <row r="23" spans="1:21" x14ac:dyDescent="0.3">
      <c r="A23" s="9" t="s">
        <v>16</v>
      </c>
      <c r="B23" s="10" t="s">
        <v>104</v>
      </c>
      <c r="C23" s="11" t="s">
        <v>105</v>
      </c>
      <c r="D23" s="12">
        <v>44077</v>
      </c>
      <c r="E23" s="12">
        <v>44077</v>
      </c>
      <c r="F23" s="26">
        <v>145878411</v>
      </c>
      <c r="G23" s="27">
        <v>0</v>
      </c>
      <c r="H23" s="9" t="s">
        <v>106</v>
      </c>
      <c r="I23" s="15">
        <v>830053669</v>
      </c>
      <c r="J23" s="16" t="s">
        <v>107</v>
      </c>
      <c r="K23" s="17">
        <v>75</v>
      </c>
      <c r="L23" s="18" t="s">
        <v>21</v>
      </c>
      <c r="M23" s="19">
        <f>1619492+15000</f>
        <v>1634492</v>
      </c>
      <c r="N23" s="19">
        <f t="shared" si="3"/>
        <v>310553.48</v>
      </c>
      <c r="O23" s="19">
        <f t="shared" si="0"/>
        <v>145878411</v>
      </c>
      <c r="P23" s="17" t="s">
        <v>1751</v>
      </c>
      <c r="R23" s="31"/>
    </row>
    <row r="24" spans="1:21" x14ac:dyDescent="0.3">
      <c r="A24" s="9" t="s">
        <v>16</v>
      </c>
      <c r="B24" s="10" t="s">
        <v>108</v>
      </c>
      <c r="C24" s="11" t="s">
        <v>109</v>
      </c>
      <c r="D24" s="12">
        <v>44133</v>
      </c>
      <c r="E24" s="12">
        <v>44133</v>
      </c>
      <c r="F24" s="26">
        <v>2977500</v>
      </c>
      <c r="G24" s="27">
        <v>0</v>
      </c>
      <c r="H24" s="9" t="s">
        <v>110</v>
      </c>
      <c r="I24" s="15">
        <v>900353659</v>
      </c>
      <c r="J24" s="16" t="s">
        <v>57</v>
      </c>
      <c r="K24" s="17">
        <v>250</v>
      </c>
      <c r="L24" s="18" t="s">
        <v>53</v>
      </c>
      <c r="M24" s="19">
        <v>9000</v>
      </c>
      <c r="N24" s="19">
        <f t="shared" si="3"/>
        <v>1710</v>
      </c>
      <c r="O24" s="19">
        <f t="shared" si="0"/>
        <v>2677500</v>
      </c>
      <c r="P24" s="21" t="s">
        <v>656</v>
      </c>
      <c r="R24" s="31"/>
    </row>
    <row r="25" spans="1:21" x14ac:dyDescent="0.3">
      <c r="A25" s="9" t="s">
        <v>16</v>
      </c>
      <c r="B25" s="10" t="s">
        <v>111</v>
      </c>
      <c r="C25" s="11" t="s">
        <v>1755</v>
      </c>
      <c r="D25" s="12">
        <v>44106</v>
      </c>
      <c r="E25" s="12">
        <v>44109</v>
      </c>
      <c r="F25" s="26">
        <v>44266888</v>
      </c>
      <c r="G25" s="27">
        <v>0</v>
      </c>
      <c r="H25" s="9" t="s">
        <v>42</v>
      </c>
      <c r="I25" s="15">
        <v>890000547</v>
      </c>
      <c r="J25" s="16" t="s">
        <v>112</v>
      </c>
      <c r="K25" s="17">
        <v>8</v>
      </c>
      <c r="L25" s="18" t="s">
        <v>44</v>
      </c>
      <c r="M25" s="19">
        <v>2000010</v>
      </c>
      <c r="N25" s="19">
        <v>0</v>
      </c>
      <c r="O25" s="19">
        <f>K25*(M25+N25)*2.7666666</f>
        <v>44266886.933328003</v>
      </c>
      <c r="P25" s="17" t="s">
        <v>45</v>
      </c>
      <c r="R25" s="31"/>
    </row>
    <row r="26" spans="1:21" x14ac:dyDescent="0.3">
      <c r="A26" s="9" t="s">
        <v>16</v>
      </c>
      <c r="B26" s="10" t="s">
        <v>113</v>
      </c>
      <c r="C26" s="11" t="s">
        <v>1756</v>
      </c>
      <c r="D26" s="12">
        <v>44130</v>
      </c>
      <c r="E26" s="12">
        <v>44140</v>
      </c>
      <c r="F26" s="26">
        <v>6750000</v>
      </c>
      <c r="G26" s="27">
        <v>0</v>
      </c>
      <c r="H26" s="9" t="s">
        <v>114</v>
      </c>
      <c r="I26" s="15">
        <v>901189640</v>
      </c>
      <c r="J26" s="16" t="s">
        <v>115</v>
      </c>
      <c r="K26" s="17">
        <v>540</v>
      </c>
      <c r="L26" s="18" t="s">
        <v>21</v>
      </c>
      <c r="M26" s="19">
        <v>12500</v>
      </c>
      <c r="N26" s="19">
        <v>0</v>
      </c>
      <c r="O26" s="19">
        <f t="shared" si="0"/>
        <v>6750000</v>
      </c>
      <c r="P26" s="17" t="s">
        <v>31</v>
      </c>
      <c r="R26" s="31"/>
    </row>
    <row r="27" spans="1:21" x14ac:dyDescent="0.3">
      <c r="A27" s="9" t="s">
        <v>16</v>
      </c>
      <c r="B27" s="10" t="s">
        <v>116</v>
      </c>
      <c r="C27" s="11" t="s">
        <v>117</v>
      </c>
      <c r="D27" s="12">
        <v>44113</v>
      </c>
      <c r="E27" s="12">
        <v>44113</v>
      </c>
      <c r="F27" s="26">
        <v>86384200</v>
      </c>
      <c r="G27" s="27">
        <v>0</v>
      </c>
      <c r="H27" s="9" t="s">
        <v>106</v>
      </c>
      <c r="I27" s="15">
        <v>830053669</v>
      </c>
      <c r="J27" s="16" t="s">
        <v>118</v>
      </c>
      <c r="K27" s="17">
        <v>122</v>
      </c>
      <c r="L27" s="18" t="s">
        <v>21</v>
      </c>
      <c r="M27" s="19">
        <v>242000</v>
      </c>
      <c r="N27" s="19">
        <f t="shared" ref="N27:N41" si="4">M27*0.19</f>
        <v>45980</v>
      </c>
      <c r="O27" s="19">
        <f t="shared" si="0"/>
        <v>35133560</v>
      </c>
      <c r="P27" s="16" t="s">
        <v>119</v>
      </c>
      <c r="R27" s="31"/>
    </row>
    <row r="28" spans="1:21" x14ac:dyDescent="0.3">
      <c r="A28" s="9" t="s">
        <v>16</v>
      </c>
      <c r="B28" s="10" t="s">
        <v>116</v>
      </c>
      <c r="C28" s="11" t="s">
        <v>117</v>
      </c>
      <c r="D28" s="12">
        <v>44113</v>
      </c>
      <c r="E28" s="12">
        <v>44113</v>
      </c>
      <c r="F28" s="26">
        <v>86384200</v>
      </c>
      <c r="G28" s="27">
        <v>0</v>
      </c>
      <c r="H28" s="9" t="s">
        <v>106</v>
      </c>
      <c r="I28" s="15">
        <v>830053669</v>
      </c>
      <c r="J28" s="16" t="s">
        <v>120</v>
      </c>
      <c r="K28" s="17">
        <v>248</v>
      </c>
      <c r="L28" s="18" t="s">
        <v>21</v>
      </c>
      <c r="M28" s="19">
        <v>172000</v>
      </c>
      <c r="N28" s="19">
        <f t="shared" si="4"/>
        <v>32680</v>
      </c>
      <c r="O28" s="19">
        <f t="shared" si="0"/>
        <v>50760640</v>
      </c>
      <c r="P28" s="16" t="s">
        <v>120</v>
      </c>
      <c r="R28" s="31"/>
    </row>
    <row r="29" spans="1:21" x14ac:dyDescent="0.3">
      <c r="A29" s="9" t="s">
        <v>16</v>
      </c>
      <c r="B29" s="10" t="s">
        <v>121</v>
      </c>
      <c r="C29" s="11" t="s">
        <v>122</v>
      </c>
      <c r="D29" s="12">
        <v>44188</v>
      </c>
      <c r="E29" s="12">
        <v>44188</v>
      </c>
      <c r="F29" s="26">
        <v>708360</v>
      </c>
      <c r="G29" s="27">
        <v>0</v>
      </c>
      <c r="H29" s="9" t="s">
        <v>123</v>
      </c>
      <c r="I29" s="15">
        <v>900791672</v>
      </c>
      <c r="J29" s="16" t="s">
        <v>124</v>
      </c>
      <c r="K29" s="17">
        <v>300</v>
      </c>
      <c r="L29" s="18" t="s">
        <v>21</v>
      </c>
      <c r="M29" s="19">
        <v>1480</v>
      </c>
      <c r="N29" s="19">
        <f t="shared" si="4"/>
        <v>281.2</v>
      </c>
      <c r="O29" s="19">
        <f t="shared" si="0"/>
        <v>528360</v>
      </c>
      <c r="P29" s="17" t="s">
        <v>869</v>
      </c>
      <c r="R29" s="31"/>
    </row>
    <row r="30" spans="1:21" x14ac:dyDescent="0.3">
      <c r="A30" s="9" t="s">
        <v>16</v>
      </c>
      <c r="B30" s="10" t="s">
        <v>125</v>
      </c>
      <c r="C30" s="11" t="s">
        <v>126</v>
      </c>
      <c r="D30" s="12">
        <v>44189</v>
      </c>
      <c r="E30" s="12">
        <v>44554</v>
      </c>
      <c r="F30" s="26">
        <v>97199676</v>
      </c>
      <c r="G30" s="22">
        <v>0</v>
      </c>
      <c r="H30" s="9" t="s">
        <v>106</v>
      </c>
      <c r="I30" s="15">
        <v>900564459</v>
      </c>
      <c r="J30" s="16" t="s">
        <v>127</v>
      </c>
      <c r="K30" s="17">
        <v>54</v>
      </c>
      <c r="L30" s="18" t="s">
        <v>21</v>
      </c>
      <c r="M30" s="19">
        <f>1498000+14600</f>
        <v>1512600</v>
      </c>
      <c r="N30" s="19">
        <f t="shared" si="4"/>
        <v>287394</v>
      </c>
      <c r="O30" s="19">
        <f t="shared" si="0"/>
        <v>97199676</v>
      </c>
      <c r="P30" s="17" t="s">
        <v>1751</v>
      </c>
      <c r="R30" s="31"/>
    </row>
    <row r="31" spans="1:21" x14ac:dyDescent="0.3">
      <c r="A31" s="9" t="s">
        <v>16</v>
      </c>
      <c r="B31" s="10" t="s">
        <v>128</v>
      </c>
      <c r="C31" s="11" t="s">
        <v>126</v>
      </c>
      <c r="D31" s="12">
        <v>44189</v>
      </c>
      <c r="E31" s="12">
        <v>44554</v>
      </c>
      <c r="F31" s="26">
        <v>247407247.5</v>
      </c>
      <c r="G31" s="27">
        <v>0</v>
      </c>
      <c r="H31" s="9" t="s">
        <v>129</v>
      </c>
      <c r="I31" s="15">
        <v>830110570</v>
      </c>
      <c r="J31" s="16" t="s">
        <v>1847</v>
      </c>
      <c r="K31" s="17">
        <v>105</v>
      </c>
      <c r="L31" s="18" t="s">
        <v>21</v>
      </c>
      <c r="M31" s="19">
        <f>1979900+150</f>
        <v>1980050</v>
      </c>
      <c r="N31" s="19">
        <f t="shared" si="4"/>
        <v>376209.5</v>
      </c>
      <c r="O31" s="19">
        <f t="shared" si="0"/>
        <v>247407247.5</v>
      </c>
      <c r="P31" s="17" t="s">
        <v>215</v>
      </c>
      <c r="R31" s="31"/>
    </row>
    <row r="32" spans="1:21" x14ac:dyDescent="0.3">
      <c r="A32" s="9" t="s">
        <v>16</v>
      </c>
      <c r="B32" s="10" t="s">
        <v>130</v>
      </c>
      <c r="C32" s="11" t="s">
        <v>1757</v>
      </c>
      <c r="D32" s="12">
        <v>44169</v>
      </c>
      <c r="E32" s="12">
        <v>44176</v>
      </c>
      <c r="F32" s="26">
        <v>2000000</v>
      </c>
      <c r="G32" s="27">
        <v>0</v>
      </c>
      <c r="H32" s="9" t="s">
        <v>131</v>
      </c>
      <c r="I32" s="15">
        <v>900306905</v>
      </c>
      <c r="J32" s="16" t="s">
        <v>132</v>
      </c>
      <c r="K32" s="17">
        <v>25</v>
      </c>
      <c r="L32" s="18" t="s">
        <v>21</v>
      </c>
      <c r="M32" s="19">
        <v>80000</v>
      </c>
      <c r="N32" s="19">
        <v>0</v>
      </c>
      <c r="O32" s="19">
        <f t="shared" si="0"/>
        <v>2000000</v>
      </c>
      <c r="P32" s="17" t="s">
        <v>185</v>
      </c>
      <c r="R32" s="31"/>
    </row>
    <row r="33" spans="1:18" x14ac:dyDescent="0.3">
      <c r="A33" s="9" t="s">
        <v>16</v>
      </c>
      <c r="B33" s="10" t="s">
        <v>99</v>
      </c>
      <c r="C33" s="11" t="s">
        <v>100</v>
      </c>
      <c r="D33" s="12">
        <v>44111</v>
      </c>
      <c r="E33" s="12">
        <v>44112</v>
      </c>
      <c r="F33" s="24">
        <v>30043389</v>
      </c>
      <c r="G33" s="27">
        <v>0</v>
      </c>
      <c r="H33" s="9" t="s">
        <v>101</v>
      </c>
      <c r="I33" s="15">
        <v>800242738</v>
      </c>
      <c r="J33" s="16" t="s">
        <v>133</v>
      </c>
      <c r="K33" s="17">
        <v>13</v>
      </c>
      <c r="L33" s="18" t="s">
        <v>44</v>
      </c>
      <c r="M33" s="19">
        <v>1540686.61</v>
      </c>
      <c r="N33" s="19">
        <v>0</v>
      </c>
      <c r="O33" s="19">
        <f>K33*(M33+N33)*1.5</f>
        <v>30043388.895</v>
      </c>
      <c r="P33" s="21" t="s">
        <v>102</v>
      </c>
      <c r="R33" s="31"/>
    </row>
    <row r="34" spans="1:18" x14ac:dyDescent="0.3">
      <c r="A34" s="9" t="s">
        <v>16</v>
      </c>
      <c r="B34" s="10" t="s">
        <v>134</v>
      </c>
      <c r="C34" s="11" t="s">
        <v>135</v>
      </c>
      <c r="D34" s="12">
        <v>44165</v>
      </c>
      <c r="E34" s="12">
        <v>44166</v>
      </c>
      <c r="F34" s="25">
        <v>59919511.039999999</v>
      </c>
      <c r="G34" s="23">
        <v>0</v>
      </c>
      <c r="H34" s="9" t="s">
        <v>136</v>
      </c>
      <c r="I34" s="15">
        <v>901351365</v>
      </c>
      <c r="J34" s="16" t="s">
        <v>137</v>
      </c>
      <c r="K34" s="17">
        <v>13</v>
      </c>
      <c r="L34" s="18" t="s">
        <v>44</v>
      </c>
      <c r="M34" s="19">
        <v>1648042</v>
      </c>
      <c r="N34" s="19">
        <v>0</v>
      </c>
      <c r="O34" s="19">
        <f>K34*(M34+N34)*3</f>
        <v>64273638</v>
      </c>
      <c r="P34" s="21" t="s">
        <v>102</v>
      </c>
      <c r="R34" s="31"/>
    </row>
    <row r="35" spans="1:18" x14ac:dyDescent="0.3">
      <c r="A35" s="9" t="s">
        <v>138</v>
      </c>
      <c r="B35" s="10" t="s">
        <v>139</v>
      </c>
      <c r="C35" s="28" t="s">
        <v>140</v>
      </c>
      <c r="D35" s="12">
        <v>43908</v>
      </c>
      <c r="E35" s="12">
        <v>43908</v>
      </c>
      <c r="F35" s="13">
        <v>7176804</v>
      </c>
      <c r="G35" s="14">
        <v>0</v>
      </c>
      <c r="H35" s="9" t="s">
        <v>141</v>
      </c>
      <c r="I35" s="15">
        <v>800031358</v>
      </c>
      <c r="J35" s="16" t="s">
        <v>142</v>
      </c>
      <c r="K35" s="17">
        <v>400</v>
      </c>
      <c r="L35" s="29" t="s">
        <v>36</v>
      </c>
      <c r="M35" s="19">
        <v>2158.35</v>
      </c>
      <c r="N35" s="19">
        <f t="shared" si="4"/>
        <v>410.0865</v>
      </c>
      <c r="O35" s="19">
        <f t="shared" si="0"/>
        <v>1027374.5999999999</v>
      </c>
      <c r="P35" s="21" t="s">
        <v>143</v>
      </c>
      <c r="R35" s="31"/>
    </row>
    <row r="36" spans="1:18" x14ac:dyDescent="0.3">
      <c r="A36" s="9" t="s">
        <v>138</v>
      </c>
      <c r="B36" s="10" t="s">
        <v>139</v>
      </c>
      <c r="C36" s="28" t="s">
        <v>140</v>
      </c>
      <c r="D36" s="12">
        <v>43908</v>
      </c>
      <c r="E36" s="12">
        <v>43908</v>
      </c>
      <c r="F36" s="13">
        <v>7176804</v>
      </c>
      <c r="G36" s="14">
        <v>0</v>
      </c>
      <c r="H36" s="9" t="s">
        <v>141</v>
      </c>
      <c r="I36" s="15">
        <v>800031358</v>
      </c>
      <c r="J36" s="16" t="s">
        <v>144</v>
      </c>
      <c r="K36" s="17">
        <v>18</v>
      </c>
      <c r="L36" s="29" t="s">
        <v>70</v>
      </c>
      <c r="M36" s="19">
        <v>14000.000000000002</v>
      </c>
      <c r="N36" s="19">
        <f t="shared" si="4"/>
        <v>2660.0000000000005</v>
      </c>
      <c r="O36" s="19">
        <f t="shared" si="0"/>
        <v>299880.00000000006</v>
      </c>
      <c r="P36" s="21" t="s">
        <v>145</v>
      </c>
      <c r="R36" s="31"/>
    </row>
    <row r="37" spans="1:18" x14ac:dyDescent="0.3">
      <c r="A37" s="9" t="s">
        <v>138</v>
      </c>
      <c r="B37" s="10" t="s">
        <v>139</v>
      </c>
      <c r="C37" s="28" t="s">
        <v>140</v>
      </c>
      <c r="D37" s="12">
        <v>43908</v>
      </c>
      <c r="E37" s="12">
        <v>43908</v>
      </c>
      <c r="F37" s="13">
        <v>7176804</v>
      </c>
      <c r="G37" s="14">
        <v>0</v>
      </c>
      <c r="H37" s="9" t="s">
        <v>141</v>
      </c>
      <c r="I37" s="15">
        <v>800031358</v>
      </c>
      <c r="J37" s="16" t="s">
        <v>146</v>
      </c>
      <c r="K37" s="17">
        <v>18</v>
      </c>
      <c r="L37" s="29" t="s">
        <v>70</v>
      </c>
      <c r="M37" s="19">
        <v>14000.000000000002</v>
      </c>
      <c r="N37" s="19">
        <f t="shared" si="4"/>
        <v>2660.0000000000005</v>
      </c>
      <c r="O37" s="19">
        <f t="shared" si="0"/>
        <v>299880.00000000006</v>
      </c>
      <c r="P37" s="21" t="s">
        <v>145</v>
      </c>
      <c r="R37" s="31"/>
    </row>
    <row r="38" spans="1:18" x14ac:dyDescent="0.3">
      <c r="A38" s="9" t="s">
        <v>138</v>
      </c>
      <c r="B38" s="10" t="s">
        <v>139</v>
      </c>
      <c r="C38" s="28" t="s">
        <v>140</v>
      </c>
      <c r="D38" s="12">
        <v>43908</v>
      </c>
      <c r="E38" s="12">
        <v>43908</v>
      </c>
      <c r="F38" s="13">
        <v>7176804</v>
      </c>
      <c r="G38" s="14">
        <v>0</v>
      </c>
      <c r="H38" s="9" t="s">
        <v>141</v>
      </c>
      <c r="I38" s="15">
        <v>800031358</v>
      </c>
      <c r="J38" s="16" t="s">
        <v>147</v>
      </c>
      <c r="K38" s="46">
        <v>64.599999999999994</v>
      </c>
      <c r="L38" s="29" t="s">
        <v>36</v>
      </c>
      <c r="M38" s="19">
        <v>6557.105263157895</v>
      </c>
      <c r="N38" s="19">
        <f t="shared" si="4"/>
        <v>1245.8500000000001</v>
      </c>
      <c r="O38" s="19">
        <f t="shared" si="0"/>
        <v>504070.91</v>
      </c>
      <c r="P38" s="21" t="s">
        <v>39</v>
      </c>
      <c r="R38" s="31"/>
    </row>
    <row r="39" spans="1:18" x14ac:dyDescent="0.3">
      <c r="A39" s="9" t="s">
        <v>138</v>
      </c>
      <c r="B39" s="10" t="s">
        <v>139</v>
      </c>
      <c r="C39" s="28" t="s">
        <v>140</v>
      </c>
      <c r="D39" s="12">
        <v>43908</v>
      </c>
      <c r="E39" s="12">
        <v>43908</v>
      </c>
      <c r="F39" s="13">
        <v>7176804</v>
      </c>
      <c r="G39" s="14">
        <v>0</v>
      </c>
      <c r="H39" s="9" t="s">
        <v>141</v>
      </c>
      <c r="I39" s="15">
        <v>800031358</v>
      </c>
      <c r="J39" s="16" t="s">
        <v>148</v>
      </c>
      <c r="K39" s="17">
        <v>703</v>
      </c>
      <c r="L39" s="29" t="s">
        <v>2135</v>
      </c>
      <c r="M39" s="19">
        <v>4133</v>
      </c>
      <c r="N39" s="19">
        <f t="shared" si="4"/>
        <v>785.27</v>
      </c>
      <c r="O39" s="19">
        <f t="shared" si="0"/>
        <v>3457543.8100000005</v>
      </c>
      <c r="P39" s="21" t="s">
        <v>656</v>
      </c>
      <c r="R39" s="31"/>
    </row>
    <row r="40" spans="1:18" x14ac:dyDescent="0.3">
      <c r="A40" s="9" t="s">
        <v>138</v>
      </c>
      <c r="B40" s="10" t="s">
        <v>139</v>
      </c>
      <c r="C40" s="28" t="s">
        <v>140</v>
      </c>
      <c r="D40" s="12">
        <v>43908</v>
      </c>
      <c r="E40" s="12">
        <v>43908</v>
      </c>
      <c r="F40" s="13">
        <v>7176804</v>
      </c>
      <c r="G40" s="14">
        <v>0</v>
      </c>
      <c r="H40" s="9" t="s">
        <v>141</v>
      </c>
      <c r="I40" s="15">
        <v>800031358</v>
      </c>
      <c r="J40" s="16" t="s">
        <v>149</v>
      </c>
      <c r="K40" s="17">
        <v>100</v>
      </c>
      <c r="L40" s="29" t="s">
        <v>21</v>
      </c>
      <c r="M40" s="19">
        <v>13345.000000000002</v>
      </c>
      <c r="N40" s="19">
        <f t="shared" si="4"/>
        <v>2535.5500000000002</v>
      </c>
      <c r="O40" s="19">
        <f t="shared" si="0"/>
        <v>1588055.0000000002</v>
      </c>
      <c r="P40" s="21" t="s">
        <v>22</v>
      </c>
      <c r="R40" s="31"/>
    </row>
    <row r="41" spans="1:18" x14ac:dyDescent="0.3">
      <c r="A41" s="9" t="s">
        <v>138</v>
      </c>
      <c r="B41" s="10" t="s">
        <v>150</v>
      </c>
      <c r="C41" s="28" t="s">
        <v>151</v>
      </c>
      <c r="D41" s="12">
        <v>43945</v>
      </c>
      <c r="E41" s="12">
        <v>43945</v>
      </c>
      <c r="F41" s="13">
        <v>5103664</v>
      </c>
      <c r="G41" s="14">
        <v>0</v>
      </c>
      <c r="H41" s="9" t="s">
        <v>152</v>
      </c>
      <c r="I41" s="15">
        <v>900843992</v>
      </c>
      <c r="J41" s="16" t="s">
        <v>153</v>
      </c>
      <c r="K41" s="17">
        <v>1</v>
      </c>
      <c r="L41" s="29" t="s">
        <v>154</v>
      </c>
      <c r="M41" s="19">
        <v>4288793</v>
      </c>
      <c r="N41" s="19">
        <f t="shared" si="4"/>
        <v>814870.67</v>
      </c>
      <c r="O41" s="19">
        <f t="shared" si="0"/>
        <v>5103663.67</v>
      </c>
      <c r="P41" s="17" t="s">
        <v>155</v>
      </c>
      <c r="R41" s="31"/>
    </row>
    <row r="42" spans="1:18" x14ac:dyDescent="0.3">
      <c r="A42" s="9" t="s">
        <v>138</v>
      </c>
      <c r="B42" s="10" t="s">
        <v>156</v>
      </c>
      <c r="C42" s="28" t="s">
        <v>157</v>
      </c>
      <c r="D42" s="12">
        <v>43966</v>
      </c>
      <c r="E42" s="12">
        <v>43966</v>
      </c>
      <c r="F42" s="13">
        <v>10515900</v>
      </c>
      <c r="G42" s="14">
        <v>0</v>
      </c>
      <c r="H42" s="9" t="s">
        <v>158</v>
      </c>
      <c r="I42" s="15">
        <v>830001338</v>
      </c>
      <c r="J42" s="16" t="s">
        <v>159</v>
      </c>
      <c r="K42" s="17">
        <v>1000</v>
      </c>
      <c r="L42" s="29" t="s">
        <v>2135</v>
      </c>
      <c r="M42" s="19">
        <v>5373</v>
      </c>
      <c r="N42" s="19">
        <v>0</v>
      </c>
      <c r="O42" s="19">
        <f t="shared" si="0"/>
        <v>5373000</v>
      </c>
      <c r="P42" s="21" t="s">
        <v>656</v>
      </c>
      <c r="R42" s="31"/>
    </row>
    <row r="43" spans="1:18" x14ac:dyDescent="0.3">
      <c r="A43" s="9" t="s">
        <v>138</v>
      </c>
      <c r="B43" s="10" t="s">
        <v>156</v>
      </c>
      <c r="C43" s="28" t="s">
        <v>157</v>
      </c>
      <c r="D43" s="12">
        <v>43966</v>
      </c>
      <c r="E43" s="12">
        <v>43966</v>
      </c>
      <c r="F43" s="13">
        <v>10515900</v>
      </c>
      <c r="G43" s="14">
        <v>0</v>
      </c>
      <c r="H43" s="9" t="s">
        <v>158</v>
      </c>
      <c r="I43" s="15">
        <v>830001338</v>
      </c>
      <c r="J43" s="16" t="s">
        <v>160</v>
      </c>
      <c r="K43" s="17">
        <v>400</v>
      </c>
      <c r="L43" s="29" t="s">
        <v>36</v>
      </c>
      <c r="M43" s="19">
        <v>12857.25</v>
      </c>
      <c r="N43" s="19">
        <v>0</v>
      </c>
      <c r="O43" s="19">
        <f t="shared" si="0"/>
        <v>5142900</v>
      </c>
      <c r="P43" s="21" t="s">
        <v>161</v>
      </c>
      <c r="R43" s="31"/>
    </row>
    <row r="44" spans="1:18" x14ac:dyDescent="0.3">
      <c r="A44" s="9" t="s">
        <v>138</v>
      </c>
      <c r="B44" s="10" t="s">
        <v>162</v>
      </c>
      <c r="C44" s="28" t="s">
        <v>163</v>
      </c>
      <c r="D44" s="12">
        <v>43966</v>
      </c>
      <c r="E44" s="12">
        <v>43966</v>
      </c>
      <c r="F44" s="13">
        <v>11191700</v>
      </c>
      <c r="G44" s="14">
        <v>0</v>
      </c>
      <c r="H44" s="9" t="s">
        <v>164</v>
      </c>
      <c r="I44" s="15">
        <v>80736955</v>
      </c>
      <c r="J44" s="16" t="s">
        <v>165</v>
      </c>
      <c r="K44" s="17">
        <v>500</v>
      </c>
      <c r="L44" s="29" t="s">
        <v>36</v>
      </c>
      <c r="M44" s="19">
        <v>21598</v>
      </c>
      <c r="N44" s="19">
        <v>0</v>
      </c>
      <c r="O44" s="19">
        <f t="shared" si="0"/>
        <v>10799000</v>
      </c>
      <c r="P44" s="21" t="s">
        <v>37</v>
      </c>
      <c r="R44" s="31"/>
    </row>
    <row r="45" spans="1:18" x14ac:dyDescent="0.3">
      <c r="A45" s="9" t="s">
        <v>138</v>
      </c>
      <c r="B45" s="10" t="s">
        <v>166</v>
      </c>
      <c r="C45" s="28" t="s">
        <v>167</v>
      </c>
      <c r="D45" s="12">
        <v>43969</v>
      </c>
      <c r="E45" s="12">
        <v>43969</v>
      </c>
      <c r="F45" s="13">
        <v>5600000</v>
      </c>
      <c r="G45" s="14">
        <v>0</v>
      </c>
      <c r="H45" s="9" t="s">
        <v>168</v>
      </c>
      <c r="I45" s="15">
        <v>830037946</v>
      </c>
      <c r="J45" s="16" t="s">
        <v>169</v>
      </c>
      <c r="K45" s="46">
        <v>500</v>
      </c>
      <c r="L45" s="29" t="s">
        <v>36</v>
      </c>
      <c r="M45" s="19">
        <v>11200</v>
      </c>
      <c r="N45" s="19">
        <v>0</v>
      </c>
      <c r="O45" s="19">
        <f t="shared" si="0"/>
        <v>5600000</v>
      </c>
      <c r="P45" s="21" t="s">
        <v>39</v>
      </c>
      <c r="R45" s="31"/>
    </row>
    <row r="46" spans="1:18" x14ac:dyDescent="0.3">
      <c r="A46" s="9" t="s">
        <v>138</v>
      </c>
      <c r="B46" s="10" t="s">
        <v>170</v>
      </c>
      <c r="C46" s="28" t="s">
        <v>171</v>
      </c>
      <c r="D46" s="12">
        <v>43969</v>
      </c>
      <c r="E46" s="12">
        <v>43969</v>
      </c>
      <c r="F46" s="13">
        <v>6890700</v>
      </c>
      <c r="G46" s="14">
        <v>0</v>
      </c>
      <c r="H46" s="9" t="s">
        <v>172</v>
      </c>
      <c r="I46" s="15">
        <v>900155107</v>
      </c>
      <c r="J46" s="16" t="s">
        <v>173</v>
      </c>
      <c r="K46" s="17">
        <v>100</v>
      </c>
      <c r="L46" s="29" t="s">
        <v>70</v>
      </c>
      <c r="M46" s="19">
        <v>68907</v>
      </c>
      <c r="N46" s="19">
        <v>0</v>
      </c>
      <c r="O46" s="19">
        <f t="shared" si="0"/>
        <v>6890700</v>
      </c>
      <c r="P46" s="17" t="s">
        <v>69</v>
      </c>
      <c r="R46" s="31"/>
    </row>
    <row r="47" spans="1:18" x14ac:dyDescent="0.3">
      <c r="A47" s="9" t="s">
        <v>138</v>
      </c>
      <c r="B47" s="10" t="s">
        <v>174</v>
      </c>
      <c r="C47" s="28" t="s">
        <v>175</v>
      </c>
      <c r="D47" s="12">
        <v>43971</v>
      </c>
      <c r="E47" s="12">
        <v>43969</v>
      </c>
      <c r="F47" s="13">
        <v>7686300</v>
      </c>
      <c r="G47" s="14">
        <v>0</v>
      </c>
      <c r="H47" s="9" t="s">
        <v>172</v>
      </c>
      <c r="I47" s="15">
        <v>900155107</v>
      </c>
      <c r="J47" s="16" t="s">
        <v>176</v>
      </c>
      <c r="K47" s="17">
        <v>5000</v>
      </c>
      <c r="L47" s="18" t="s">
        <v>21</v>
      </c>
      <c r="M47" s="19">
        <v>1537.26</v>
      </c>
      <c r="N47" s="19">
        <v>0</v>
      </c>
      <c r="O47" s="19">
        <f t="shared" si="0"/>
        <v>7686300</v>
      </c>
      <c r="P47" s="17" t="s">
        <v>31</v>
      </c>
      <c r="R47" s="31"/>
    </row>
    <row r="48" spans="1:18" x14ac:dyDescent="0.3">
      <c r="A48" s="9" t="s">
        <v>138</v>
      </c>
      <c r="B48" s="10" t="s">
        <v>177</v>
      </c>
      <c r="C48" s="28" t="s">
        <v>178</v>
      </c>
      <c r="D48" s="12">
        <v>43983</v>
      </c>
      <c r="E48" s="12">
        <v>43983</v>
      </c>
      <c r="F48" s="13">
        <v>20300000</v>
      </c>
      <c r="G48" s="14">
        <v>0</v>
      </c>
      <c r="H48" s="9" t="s">
        <v>179</v>
      </c>
      <c r="I48" s="15">
        <v>890106665</v>
      </c>
      <c r="J48" s="16" t="s">
        <v>180</v>
      </c>
      <c r="K48" s="17">
        <v>7000</v>
      </c>
      <c r="L48" s="18" t="s">
        <v>21</v>
      </c>
      <c r="M48" s="19">
        <v>2900</v>
      </c>
      <c r="N48" s="19">
        <v>0</v>
      </c>
      <c r="O48" s="19">
        <f t="shared" si="0"/>
        <v>20300000</v>
      </c>
      <c r="P48" s="17" t="s">
        <v>31</v>
      </c>
      <c r="R48" s="31"/>
    </row>
    <row r="49" spans="1:18" x14ac:dyDescent="0.3">
      <c r="A49" s="9" t="s">
        <v>138</v>
      </c>
      <c r="B49" s="10" t="s">
        <v>181</v>
      </c>
      <c r="C49" s="28" t="s">
        <v>182</v>
      </c>
      <c r="D49" s="12">
        <v>43984</v>
      </c>
      <c r="E49" s="12">
        <v>43984</v>
      </c>
      <c r="F49" s="13">
        <v>12960000</v>
      </c>
      <c r="G49" s="14">
        <v>0</v>
      </c>
      <c r="H49" s="9" t="s">
        <v>183</v>
      </c>
      <c r="I49" s="15">
        <v>900616935</v>
      </c>
      <c r="J49" s="16" t="s">
        <v>184</v>
      </c>
      <c r="K49" s="17">
        <v>12</v>
      </c>
      <c r="L49" s="29" t="s">
        <v>21</v>
      </c>
      <c r="M49" s="19">
        <v>330000</v>
      </c>
      <c r="N49" s="19">
        <v>0</v>
      </c>
      <c r="O49" s="19">
        <f t="shared" si="0"/>
        <v>3960000</v>
      </c>
      <c r="P49" s="17" t="s">
        <v>185</v>
      </c>
      <c r="R49" s="31"/>
    </row>
    <row r="50" spans="1:18" x14ac:dyDescent="0.3">
      <c r="A50" s="9" t="s">
        <v>138</v>
      </c>
      <c r="B50" s="10" t="s">
        <v>181</v>
      </c>
      <c r="C50" s="28" t="s">
        <v>182</v>
      </c>
      <c r="D50" s="12">
        <v>43984</v>
      </c>
      <c r="E50" s="12">
        <v>43984</v>
      </c>
      <c r="F50" s="13">
        <v>12960000</v>
      </c>
      <c r="G50" s="14">
        <v>0</v>
      </c>
      <c r="H50" s="9" t="s">
        <v>183</v>
      </c>
      <c r="I50" s="15">
        <v>900616935</v>
      </c>
      <c r="J50" s="16" t="s">
        <v>186</v>
      </c>
      <c r="K50" s="17">
        <v>3000</v>
      </c>
      <c r="L50" s="29" t="s">
        <v>21</v>
      </c>
      <c r="M50" s="19">
        <v>3000</v>
      </c>
      <c r="N50" s="19">
        <v>0</v>
      </c>
      <c r="O50" s="19">
        <f t="shared" si="0"/>
        <v>9000000</v>
      </c>
      <c r="P50" s="21" t="s">
        <v>187</v>
      </c>
      <c r="R50" s="31"/>
    </row>
    <row r="51" spans="1:18" x14ac:dyDescent="0.3">
      <c r="A51" s="9" t="s">
        <v>138</v>
      </c>
      <c r="B51" s="10" t="s">
        <v>188</v>
      </c>
      <c r="C51" s="28" t="s">
        <v>189</v>
      </c>
      <c r="D51" s="12">
        <v>43990</v>
      </c>
      <c r="E51" s="12">
        <v>43992</v>
      </c>
      <c r="F51" s="13">
        <v>20349000</v>
      </c>
      <c r="G51" s="14">
        <v>0</v>
      </c>
      <c r="H51" s="9" t="s">
        <v>190</v>
      </c>
      <c r="I51" s="15">
        <v>901094895</v>
      </c>
      <c r="J51" s="16" t="s">
        <v>191</v>
      </c>
      <c r="K51" s="17">
        <v>18</v>
      </c>
      <c r="L51" s="29" t="s">
        <v>21</v>
      </c>
      <c r="M51" s="19">
        <v>950000</v>
      </c>
      <c r="N51" s="19">
        <f t="shared" ref="N51:N52" si="5">M51*0.19</f>
        <v>180500</v>
      </c>
      <c r="O51" s="19">
        <f t="shared" si="0"/>
        <v>20349000</v>
      </c>
      <c r="P51" s="17" t="s">
        <v>65</v>
      </c>
      <c r="R51" s="31"/>
    </row>
    <row r="52" spans="1:18" x14ac:dyDescent="0.3">
      <c r="A52" s="9" t="s">
        <v>138</v>
      </c>
      <c r="B52" s="10" t="s">
        <v>192</v>
      </c>
      <c r="C52" s="28" t="s">
        <v>193</v>
      </c>
      <c r="D52" s="12">
        <v>44013</v>
      </c>
      <c r="E52" s="12">
        <v>44013</v>
      </c>
      <c r="F52" s="13">
        <v>43680000</v>
      </c>
      <c r="G52" s="14">
        <v>0</v>
      </c>
      <c r="H52" s="9" t="s">
        <v>194</v>
      </c>
      <c r="I52" s="15">
        <v>900008801</v>
      </c>
      <c r="J52" s="16" t="s">
        <v>195</v>
      </c>
      <c r="K52" s="17">
        <v>7</v>
      </c>
      <c r="L52" s="18" t="s">
        <v>44</v>
      </c>
      <c r="M52" s="19">
        <v>1310924.3697478992</v>
      </c>
      <c r="N52" s="19">
        <f t="shared" si="5"/>
        <v>249075.63025210085</v>
      </c>
      <c r="O52" s="19">
        <f>K52*(M52+N52)*4</f>
        <v>43680000</v>
      </c>
      <c r="P52" s="17" t="s">
        <v>45</v>
      </c>
      <c r="R52" s="31"/>
    </row>
    <row r="53" spans="1:18" x14ac:dyDescent="0.3">
      <c r="A53" s="9" t="s">
        <v>196</v>
      </c>
      <c r="B53" s="10" t="s">
        <v>197</v>
      </c>
      <c r="C53" s="11" t="s">
        <v>198</v>
      </c>
      <c r="D53" s="12">
        <v>43915</v>
      </c>
      <c r="E53" s="12">
        <v>43922</v>
      </c>
      <c r="F53" s="13">
        <v>185523408</v>
      </c>
      <c r="G53" s="14">
        <v>0</v>
      </c>
      <c r="H53" s="9" t="s">
        <v>199</v>
      </c>
      <c r="I53" s="15">
        <v>800126785</v>
      </c>
      <c r="J53" s="16" t="s">
        <v>200</v>
      </c>
      <c r="K53" s="17">
        <v>6</v>
      </c>
      <c r="L53" s="18" t="s">
        <v>44</v>
      </c>
      <c r="M53" s="19">
        <v>3222785</v>
      </c>
      <c r="N53" s="19">
        <v>0</v>
      </c>
      <c r="O53" s="19">
        <f>K53*(M53+N53)*7</f>
        <v>135356970</v>
      </c>
      <c r="P53" s="17" t="s">
        <v>201</v>
      </c>
      <c r="R53" s="31"/>
    </row>
    <row r="54" spans="1:18" x14ac:dyDescent="0.3">
      <c r="A54" s="9" t="s">
        <v>196</v>
      </c>
      <c r="B54" s="10" t="s">
        <v>197</v>
      </c>
      <c r="C54" s="11" t="s">
        <v>198</v>
      </c>
      <c r="D54" s="12">
        <v>43915</v>
      </c>
      <c r="E54" s="12">
        <v>43922</v>
      </c>
      <c r="F54" s="13">
        <v>185523408</v>
      </c>
      <c r="G54" s="14">
        <v>0</v>
      </c>
      <c r="H54" s="9" t="s">
        <v>199</v>
      </c>
      <c r="I54" s="15">
        <v>800126785</v>
      </c>
      <c r="J54" s="16" t="s">
        <v>202</v>
      </c>
      <c r="K54" s="17">
        <v>21</v>
      </c>
      <c r="L54" s="18" t="s">
        <v>44</v>
      </c>
      <c r="M54" s="19">
        <v>341189</v>
      </c>
      <c r="N54" s="19">
        <v>0</v>
      </c>
      <c r="O54" s="19">
        <f>K54*(M54+N54)*7</f>
        <v>50154783</v>
      </c>
      <c r="P54" s="17" t="s">
        <v>201</v>
      </c>
      <c r="R54" s="31"/>
    </row>
    <row r="55" spans="1:18" x14ac:dyDescent="0.3">
      <c r="A55" s="9" t="s">
        <v>196</v>
      </c>
      <c r="B55" s="10" t="s">
        <v>203</v>
      </c>
      <c r="C55" s="11" t="s">
        <v>204</v>
      </c>
      <c r="D55" s="12">
        <v>43916</v>
      </c>
      <c r="E55" s="12">
        <v>43920</v>
      </c>
      <c r="F55" s="13">
        <v>219927500</v>
      </c>
      <c r="G55" s="14">
        <v>0</v>
      </c>
      <c r="H55" s="9" t="s">
        <v>205</v>
      </c>
      <c r="I55" s="15">
        <v>900521780</v>
      </c>
      <c r="J55" s="16" t="s">
        <v>37</v>
      </c>
      <c r="K55" s="17">
        <v>750</v>
      </c>
      <c r="L55" s="18" t="s">
        <v>36</v>
      </c>
      <c r="M55" s="19">
        <v>36400</v>
      </c>
      <c r="N55" s="19">
        <v>0</v>
      </c>
      <c r="O55" s="19">
        <f t="shared" si="0"/>
        <v>27300000</v>
      </c>
      <c r="P55" s="17" t="s">
        <v>37</v>
      </c>
      <c r="R55" s="31"/>
    </row>
    <row r="56" spans="1:18" x14ac:dyDescent="0.3">
      <c r="A56" s="9" t="s">
        <v>196</v>
      </c>
      <c r="B56" s="10" t="s">
        <v>203</v>
      </c>
      <c r="C56" s="11" t="s">
        <v>204</v>
      </c>
      <c r="D56" s="12">
        <v>43916</v>
      </c>
      <c r="E56" s="12">
        <v>43920</v>
      </c>
      <c r="F56" s="13">
        <v>219927500</v>
      </c>
      <c r="G56" s="14">
        <v>0</v>
      </c>
      <c r="H56" s="9" t="s">
        <v>205</v>
      </c>
      <c r="I56" s="15">
        <v>900521780</v>
      </c>
      <c r="J56" s="16" t="s">
        <v>206</v>
      </c>
      <c r="K56" s="17">
        <v>2000</v>
      </c>
      <c r="L56" s="29" t="s">
        <v>2135</v>
      </c>
      <c r="M56" s="19">
        <v>6500</v>
      </c>
      <c r="N56" s="19">
        <v>0</v>
      </c>
      <c r="O56" s="19">
        <f t="shared" si="0"/>
        <v>13000000</v>
      </c>
      <c r="P56" s="21" t="s">
        <v>656</v>
      </c>
      <c r="R56" s="31"/>
    </row>
    <row r="57" spans="1:18" x14ac:dyDescent="0.3">
      <c r="A57" s="9" t="s">
        <v>196</v>
      </c>
      <c r="B57" s="10" t="s">
        <v>203</v>
      </c>
      <c r="C57" s="11" t="s">
        <v>204</v>
      </c>
      <c r="D57" s="12">
        <v>43916</v>
      </c>
      <c r="E57" s="12">
        <v>43920</v>
      </c>
      <c r="F57" s="13">
        <v>219927500</v>
      </c>
      <c r="G57" s="14">
        <v>0</v>
      </c>
      <c r="H57" s="9" t="s">
        <v>205</v>
      </c>
      <c r="I57" s="15">
        <v>900521780</v>
      </c>
      <c r="J57" s="16" t="s">
        <v>176</v>
      </c>
      <c r="K57" s="17">
        <v>150000</v>
      </c>
      <c r="L57" s="18" t="s">
        <v>21</v>
      </c>
      <c r="M57" s="19">
        <v>910</v>
      </c>
      <c r="N57" s="19">
        <v>0</v>
      </c>
      <c r="O57" s="19">
        <f t="shared" si="0"/>
        <v>136500000</v>
      </c>
      <c r="P57" s="17" t="s">
        <v>31</v>
      </c>
      <c r="R57" s="31"/>
    </row>
    <row r="58" spans="1:18" x14ac:dyDescent="0.3">
      <c r="A58" s="9" t="s">
        <v>196</v>
      </c>
      <c r="B58" s="10" t="s">
        <v>203</v>
      </c>
      <c r="C58" s="11" t="s">
        <v>204</v>
      </c>
      <c r="D58" s="12">
        <v>43916</v>
      </c>
      <c r="E58" s="12">
        <v>43920</v>
      </c>
      <c r="F58" s="13">
        <v>219927500</v>
      </c>
      <c r="G58" s="14">
        <v>0</v>
      </c>
      <c r="H58" s="9" t="s">
        <v>205</v>
      </c>
      <c r="I58" s="15">
        <v>900521780</v>
      </c>
      <c r="J58" s="16" t="s">
        <v>207</v>
      </c>
      <c r="K58" s="17">
        <v>1150</v>
      </c>
      <c r="L58" s="18" t="s">
        <v>36</v>
      </c>
      <c r="M58" s="19">
        <v>9750</v>
      </c>
      <c r="N58" s="19">
        <v>0</v>
      </c>
      <c r="O58" s="19">
        <f t="shared" si="0"/>
        <v>11212500</v>
      </c>
      <c r="P58" s="17" t="s">
        <v>161</v>
      </c>
      <c r="R58" s="31"/>
    </row>
    <row r="59" spans="1:18" x14ac:dyDescent="0.3">
      <c r="A59" s="9" t="s">
        <v>196</v>
      </c>
      <c r="B59" s="10" t="s">
        <v>203</v>
      </c>
      <c r="C59" s="11" t="s">
        <v>204</v>
      </c>
      <c r="D59" s="12">
        <v>43916</v>
      </c>
      <c r="E59" s="12">
        <v>43920</v>
      </c>
      <c r="F59" s="13">
        <v>219927500</v>
      </c>
      <c r="G59" s="14">
        <v>0</v>
      </c>
      <c r="H59" s="9" t="s">
        <v>205</v>
      </c>
      <c r="I59" s="15">
        <v>900521780</v>
      </c>
      <c r="J59" s="16" t="s">
        <v>208</v>
      </c>
      <c r="K59" s="17">
        <v>2050</v>
      </c>
      <c r="L59" s="18" t="s">
        <v>53</v>
      </c>
      <c r="M59" s="19">
        <v>1300</v>
      </c>
      <c r="N59" s="19">
        <v>0</v>
      </c>
      <c r="O59" s="19">
        <f t="shared" si="0"/>
        <v>2665000</v>
      </c>
      <c r="P59" s="17" t="s">
        <v>209</v>
      </c>
      <c r="R59" s="31"/>
    </row>
    <row r="60" spans="1:18" x14ac:dyDescent="0.3">
      <c r="A60" s="9" t="s">
        <v>196</v>
      </c>
      <c r="B60" s="10" t="s">
        <v>203</v>
      </c>
      <c r="C60" s="11" t="s">
        <v>204</v>
      </c>
      <c r="D60" s="12">
        <v>43916</v>
      </c>
      <c r="E60" s="12">
        <v>43920</v>
      </c>
      <c r="F60" s="13">
        <v>219927500</v>
      </c>
      <c r="G60" s="14">
        <v>0</v>
      </c>
      <c r="H60" s="9" t="s">
        <v>205</v>
      </c>
      <c r="I60" s="15">
        <v>900521780</v>
      </c>
      <c r="J60" s="16" t="s">
        <v>210</v>
      </c>
      <c r="K60" s="17">
        <v>1500</v>
      </c>
      <c r="L60" s="18" t="s">
        <v>70</v>
      </c>
      <c r="M60" s="19">
        <v>19500</v>
      </c>
      <c r="N60" s="19">
        <v>0</v>
      </c>
      <c r="O60" s="19">
        <f t="shared" si="0"/>
        <v>29250000</v>
      </c>
      <c r="P60" s="17" t="s">
        <v>145</v>
      </c>
      <c r="R60" s="31"/>
    </row>
    <row r="61" spans="1:18" x14ac:dyDescent="0.3">
      <c r="A61" s="9" t="s">
        <v>196</v>
      </c>
      <c r="B61" s="10" t="s">
        <v>211</v>
      </c>
      <c r="C61" s="11" t="s">
        <v>212</v>
      </c>
      <c r="D61" s="12">
        <v>43924</v>
      </c>
      <c r="E61" s="12">
        <v>43927</v>
      </c>
      <c r="F61" s="13">
        <v>298166400</v>
      </c>
      <c r="G61" s="14">
        <v>0</v>
      </c>
      <c r="H61" s="9" t="s">
        <v>213</v>
      </c>
      <c r="I61" s="15">
        <v>900594755</v>
      </c>
      <c r="J61" s="16" t="s">
        <v>214</v>
      </c>
      <c r="K61" s="17">
        <v>58</v>
      </c>
      <c r="L61" s="18" t="s">
        <v>21</v>
      </c>
      <c r="M61" s="19">
        <v>2980000</v>
      </c>
      <c r="N61" s="19">
        <f t="shared" ref="N61:N62" si="6">M61*0.19</f>
        <v>566200</v>
      </c>
      <c r="O61" s="19">
        <f t="shared" si="0"/>
        <v>205679600</v>
      </c>
      <c r="P61" s="17" t="s">
        <v>215</v>
      </c>
      <c r="R61" s="31"/>
    </row>
    <row r="62" spans="1:18" x14ac:dyDescent="0.3">
      <c r="A62" s="9" t="s">
        <v>196</v>
      </c>
      <c r="B62" s="10" t="s">
        <v>211</v>
      </c>
      <c r="C62" s="11" t="s">
        <v>212</v>
      </c>
      <c r="D62" s="12">
        <v>43924</v>
      </c>
      <c r="E62" s="12">
        <v>43927</v>
      </c>
      <c r="F62" s="13">
        <v>298166400</v>
      </c>
      <c r="G62" s="14">
        <v>0</v>
      </c>
      <c r="H62" s="9" t="s">
        <v>213</v>
      </c>
      <c r="I62" s="15">
        <v>900594755</v>
      </c>
      <c r="J62" s="16" t="s">
        <v>216</v>
      </c>
      <c r="K62" s="17">
        <v>58</v>
      </c>
      <c r="L62" s="18" t="s">
        <v>21</v>
      </c>
      <c r="M62" s="19">
        <v>1340000</v>
      </c>
      <c r="N62" s="19">
        <f t="shared" si="6"/>
        <v>254600</v>
      </c>
      <c r="O62" s="19">
        <f t="shared" si="0"/>
        <v>92486800</v>
      </c>
      <c r="P62" s="17" t="s">
        <v>217</v>
      </c>
      <c r="R62" s="31"/>
    </row>
    <row r="63" spans="1:18" x14ac:dyDescent="0.3">
      <c r="A63" s="9" t="s">
        <v>196</v>
      </c>
      <c r="B63" s="10" t="s">
        <v>218</v>
      </c>
      <c r="C63" s="11" t="s">
        <v>219</v>
      </c>
      <c r="D63" s="12">
        <v>43948</v>
      </c>
      <c r="E63" s="12">
        <v>43950</v>
      </c>
      <c r="F63" s="13">
        <v>7000000</v>
      </c>
      <c r="G63" s="14">
        <v>0</v>
      </c>
      <c r="H63" s="9" t="s">
        <v>220</v>
      </c>
      <c r="I63" s="15">
        <v>1024582398</v>
      </c>
      <c r="J63" s="16" t="s">
        <v>221</v>
      </c>
      <c r="K63" s="17">
        <v>1</v>
      </c>
      <c r="L63" s="18" t="s">
        <v>44</v>
      </c>
      <c r="M63" s="19">
        <v>3500000</v>
      </c>
      <c r="N63" s="19">
        <v>0</v>
      </c>
      <c r="O63" s="19">
        <f>K63*(M63+N63)*2</f>
        <v>7000000</v>
      </c>
      <c r="P63" s="21" t="s">
        <v>222</v>
      </c>
      <c r="R63" s="31"/>
    </row>
    <row r="64" spans="1:18" x14ac:dyDescent="0.3">
      <c r="A64" s="9" t="s">
        <v>196</v>
      </c>
      <c r="B64" s="10" t="s">
        <v>223</v>
      </c>
      <c r="C64" s="11" t="s">
        <v>219</v>
      </c>
      <c r="D64" s="12">
        <v>43948</v>
      </c>
      <c r="E64" s="12">
        <v>43950</v>
      </c>
      <c r="F64" s="13">
        <v>7000000</v>
      </c>
      <c r="G64" s="14">
        <v>0</v>
      </c>
      <c r="H64" s="9" t="s">
        <v>224</v>
      </c>
      <c r="I64" s="15">
        <v>80004109</v>
      </c>
      <c r="J64" s="16" t="s">
        <v>221</v>
      </c>
      <c r="K64" s="17">
        <v>1</v>
      </c>
      <c r="L64" s="18" t="s">
        <v>44</v>
      </c>
      <c r="M64" s="19">
        <v>3500000</v>
      </c>
      <c r="N64" s="19">
        <v>0</v>
      </c>
      <c r="O64" s="19">
        <f>K64*(M64+N64)*2</f>
        <v>7000000</v>
      </c>
      <c r="P64" s="21" t="s">
        <v>222</v>
      </c>
      <c r="R64" s="31"/>
    </row>
    <row r="65" spans="1:18" x14ac:dyDescent="0.3">
      <c r="A65" s="9" t="s">
        <v>196</v>
      </c>
      <c r="B65" s="10" t="s">
        <v>156</v>
      </c>
      <c r="C65" s="11" t="s">
        <v>219</v>
      </c>
      <c r="D65" s="12">
        <v>43948</v>
      </c>
      <c r="E65" s="12">
        <v>43950</v>
      </c>
      <c r="F65" s="13">
        <v>7000000</v>
      </c>
      <c r="G65" s="14">
        <v>0</v>
      </c>
      <c r="H65" s="9" t="s">
        <v>225</v>
      </c>
      <c r="I65" s="15">
        <v>79961756</v>
      </c>
      <c r="J65" s="16" t="s">
        <v>221</v>
      </c>
      <c r="K65" s="17">
        <v>1</v>
      </c>
      <c r="L65" s="18" t="s">
        <v>44</v>
      </c>
      <c r="M65" s="19">
        <v>3500000</v>
      </c>
      <c r="N65" s="19">
        <v>0</v>
      </c>
      <c r="O65" s="19">
        <f>K65*(M65+N65)*2</f>
        <v>7000000</v>
      </c>
      <c r="P65" s="21" t="s">
        <v>222</v>
      </c>
      <c r="R65" s="31"/>
    </row>
    <row r="66" spans="1:18" x14ac:dyDescent="0.3">
      <c r="A66" s="9" t="s">
        <v>196</v>
      </c>
      <c r="B66" s="10" t="s">
        <v>162</v>
      </c>
      <c r="C66" s="11" t="s">
        <v>219</v>
      </c>
      <c r="D66" s="12">
        <v>43949</v>
      </c>
      <c r="E66" s="12">
        <v>43950</v>
      </c>
      <c r="F66" s="13">
        <v>7000000</v>
      </c>
      <c r="G66" s="14">
        <v>0</v>
      </c>
      <c r="H66" s="9" t="s">
        <v>226</v>
      </c>
      <c r="I66" s="15">
        <v>80261176</v>
      </c>
      <c r="J66" s="16" t="s">
        <v>221</v>
      </c>
      <c r="K66" s="17">
        <v>1</v>
      </c>
      <c r="L66" s="18" t="s">
        <v>44</v>
      </c>
      <c r="M66" s="19">
        <v>3500000</v>
      </c>
      <c r="N66" s="19">
        <v>0</v>
      </c>
      <c r="O66" s="19">
        <f>K66*(M66+N66)*2</f>
        <v>7000000</v>
      </c>
      <c r="P66" s="21" t="s">
        <v>222</v>
      </c>
      <c r="R66" s="31"/>
    </row>
    <row r="67" spans="1:18" x14ac:dyDescent="0.3">
      <c r="A67" s="9" t="s">
        <v>196</v>
      </c>
      <c r="B67" s="10" t="s">
        <v>166</v>
      </c>
      <c r="C67" s="11" t="s">
        <v>227</v>
      </c>
      <c r="D67" s="12">
        <v>43948</v>
      </c>
      <c r="E67" s="12">
        <v>43957</v>
      </c>
      <c r="F67" s="13">
        <v>73631250</v>
      </c>
      <c r="G67" s="14">
        <v>73631250</v>
      </c>
      <c r="H67" s="9" t="s">
        <v>213</v>
      </c>
      <c r="I67" s="15">
        <v>900594755</v>
      </c>
      <c r="J67" s="16" t="s">
        <v>228</v>
      </c>
      <c r="K67" s="17">
        <v>300</v>
      </c>
      <c r="L67" s="18" t="s">
        <v>92</v>
      </c>
      <c r="M67" s="19">
        <v>137500</v>
      </c>
      <c r="N67" s="19">
        <f>M67*0.19</f>
        <v>26125</v>
      </c>
      <c r="O67" s="19">
        <f>K67*(M67+N67)*3</f>
        <v>147262500</v>
      </c>
      <c r="P67" s="17" t="s">
        <v>229</v>
      </c>
      <c r="R67" s="31"/>
    </row>
    <row r="68" spans="1:18" x14ac:dyDescent="0.3">
      <c r="A68" s="9" t="s">
        <v>196</v>
      </c>
      <c r="B68" s="10" t="s">
        <v>181</v>
      </c>
      <c r="C68" s="11" t="s">
        <v>230</v>
      </c>
      <c r="D68" s="12">
        <v>43978</v>
      </c>
      <c r="E68" s="12">
        <v>43980</v>
      </c>
      <c r="F68" s="13">
        <v>418175000</v>
      </c>
      <c r="G68" s="14">
        <v>0</v>
      </c>
      <c r="H68" s="9" t="s">
        <v>231</v>
      </c>
      <c r="I68" s="15">
        <v>900053297</v>
      </c>
      <c r="J68" s="16" t="s">
        <v>232</v>
      </c>
      <c r="K68" s="17">
        <v>100</v>
      </c>
      <c r="L68" s="18" t="s">
        <v>21</v>
      </c>
      <c r="M68" s="19">
        <v>17800</v>
      </c>
      <c r="N68" s="19">
        <v>0</v>
      </c>
      <c r="O68" s="19">
        <f t="shared" ref="O68:O129" si="7">K68*(M68+N68)</f>
        <v>1780000</v>
      </c>
      <c r="P68" s="17" t="s">
        <v>31</v>
      </c>
      <c r="R68" s="31"/>
    </row>
    <row r="69" spans="1:18" x14ac:dyDescent="0.3">
      <c r="A69" s="9" t="s">
        <v>196</v>
      </c>
      <c r="B69" s="10" t="s">
        <v>181</v>
      </c>
      <c r="C69" s="11" t="s">
        <v>230</v>
      </c>
      <c r="D69" s="12">
        <v>43978</v>
      </c>
      <c r="E69" s="12">
        <v>43980</v>
      </c>
      <c r="F69" s="13">
        <v>418175000</v>
      </c>
      <c r="G69" s="14">
        <v>0</v>
      </c>
      <c r="H69" s="9" t="s">
        <v>231</v>
      </c>
      <c r="I69" s="15">
        <v>900053297</v>
      </c>
      <c r="J69" s="16" t="s">
        <v>233</v>
      </c>
      <c r="K69" s="17">
        <v>1000</v>
      </c>
      <c r="L69" s="18" t="s">
        <v>21</v>
      </c>
      <c r="M69" s="19">
        <v>19900</v>
      </c>
      <c r="N69" s="19">
        <v>0</v>
      </c>
      <c r="O69" s="19">
        <f t="shared" si="7"/>
        <v>19900000</v>
      </c>
      <c r="P69" s="17" t="s">
        <v>412</v>
      </c>
      <c r="R69" s="31"/>
    </row>
    <row r="70" spans="1:18" x14ac:dyDescent="0.3">
      <c r="A70" s="9" t="s">
        <v>196</v>
      </c>
      <c r="B70" s="10" t="s">
        <v>181</v>
      </c>
      <c r="C70" s="11" t="s">
        <v>230</v>
      </c>
      <c r="D70" s="12">
        <v>43978</v>
      </c>
      <c r="E70" s="12">
        <v>43980</v>
      </c>
      <c r="F70" s="13">
        <v>418175000</v>
      </c>
      <c r="G70" s="14">
        <v>0</v>
      </c>
      <c r="H70" s="9" t="s">
        <v>231</v>
      </c>
      <c r="I70" s="15">
        <v>900053297</v>
      </c>
      <c r="J70" s="16" t="s">
        <v>234</v>
      </c>
      <c r="K70" s="17">
        <v>100</v>
      </c>
      <c r="L70" s="18" t="s">
        <v>21</v>
      </c>
      <c r="M70" s="19">
        <v>34900</v>
      </c>
      <c r="N70" s="19">
        <v>0</v>
      </c>
      <c r="O70" s="19">
        <f t="shared" si="7"/>
        <v>3490000</v>
      </c>
      <c r="P70" s="17" t="s">
        <v>22</v>
      </c>
      <c r="R70" s="31"/>
    </row>
    <row r="71" spans="1:18" x14ac:dyDescent="0.3">
      <c r="A71" s="9" t="s">
        <v>196</v>
      </c>
      <c r="B71" s="10" t="s">
        <v>181</v>
      </c>
      <c r="C71" s="11" t="s">
        <v>230</v>
      </c>
      <c r="D71" s="12">
        <v>43978</v>
      </c>
      <c r="E71" s="12">
        <v>43980</v>
      </c>
      <c r="F71" s="13">
        <v>418175000</v>
      </c>
      <c r="G71" s="14">
        <v>0</v>
      </c>
      <c r="H71" s="9" t="s">
        <v>231</v>
      </c>
      <c r="I71" s="15">
        <v>900053297</v>
      </c>
      <c r="J71" s="16" t="s">
        <v>235</v>
      </c>
      <c r="K71" s="17">
        <v>192300</v>
      </c>
      <c r="L71" s="18" t="s">
        <v>21</v>
      </c>
      <c r="M71" s="19">
        <v>1850</v>
      </c>
      <c r="N71" s="19">
        <v>0</v>
      </c>
      <c r="O71" s="19">
        <f t="shared" si="7"/>
        <v>355755000</v>
      </c>
      <c r="P71" s="17" t="s">
        <v>31</v>
      </c>
      <c r="R71" s="31"/>
    </row>
    <row r="72" spans="1:18" x14ac:dyDescent="0.3">
      <c r="A72" s="9" t="s">
        <v>196</v>
      </c>
      <c r="B72" s="10" t="s">
        <v>181</v>
      </c>
      <c r="C72" s="11" t="s">
        <v>230</v>
      </c>
      <c r="D72" s="12">
        <v>43978</v>
      </c>
      <c r="E72" s="12">
        <v>43980</v>
      </c>
      <c r="F72" s="13">
        <v>418175000</v>
      </c>
      <c r="G72" s="14">
        <v>0</v>
      </c>
      <c r="H72" s="9" t="s">
        <v>231</v>
      </c>
      <c r="I72" s="15">
        <v>900053297</v>
      </c>
      <c r="J72" s="16" t="s">
        <v>236</v>
      </c>
      <c r="K72" s="17">
        <v>1250</v>
      </c>
      <c r="L72" s="18" t="s">
        <v>36</v>
      </c>
      <c r="M72" s="19">
        <v>29800</v>
      </c>
      <c r="N72" s="19">
        <v>0</v>
      </c>
      <c r="O72" s="19">
        <f t="shared" si="7"/>
        <v>37250000</v>
      </c>
      <c r="P72" s="17" t="s">
        <v>37</v>
      </c>
      <c r="R72" s="31"/>
    </row>
    <row r="73" spans="1:18" x14ac:dyDescent="0.3">
      <c r="A73" s="9" t="s">
        <v>196</v>
      </c>
      <c r="B73" s="10" t="s">
        <v>188</v>
      </c>
      <c r="C73" s="11" t="s">
        <v>237</v>
      </c>
      <c r="D73" s="12">
        <v>43977</v>
      </c>
      <c r="E73" s="12">
        <v>43980</v>
      </c>
      <c r="F73" s="13">
        <v>66640000</v>
      </c>
      <c r="G73" s="14">
        <v>0</v>
      </c>
      <c r="H73" s="9" t="s">
        <v>238</v>
      </c>
      <c r="I73" s="15">
        <v>900491441</v>
      </c>
      <c r="J73" s="16" t="s">
        <v>239</v>
      </c>
      <c r="K73" s="17">
        <v>40</v>
      </c>
      <c r="L73" s="18" t="s">
        <v>21</v>
      </c>
      <c r="M73" s="19">
        <v>1400000</v>
      </c>
      <c r="N73" s="19">
        <f>M73*0.19</f>
        <v>266000</v>
      </c>
      <c r="O73" s="19">
        <f t="shared" si="7"/>
        <v>66640000</v>
      </c>
      <c r="P73" s="17" t="s">
        <v>65</v>
      </c>
      <c r="R73" s="31"/>
    </row>
    <row r="74" spans="1:18" x14ac:dyDescent="0.3">
      <c r="A74" s="9" t="s">
        <v>196</v>
      </c>
      <c r="B74" s="10" t="s">
        <v>240</v>
      </c>
      <c r="C74" s="11" t="s">
        <v>241</v>
      </c>
      <c r="D74" s="12">
        <v>44009</v>
      </c>
      <c r="E74" s="12">
        <v>44013</v>
      </c>
      <c r="F74" s="13">
        <v>11940000</v>
      </c>
      <c r="G74" s="14">
        <v>0</v>
      </c>
      <c r="H74" s="9" t="s">
        <v>242</v>
      </c>
      <c r="I74" s="15">
        <v>900934702</v>
      </c>
      <c r="J74" s="16" t="s">
        <v>1750</v>
      </c>
      <c r="K74" s="17">
        <v>60</v>
      </c>
      <c r="L74" s="18" t="s">
        <v>21</v>
      </c>
      <c r="M74" s="19">
        <v>199000</v>
      </c>
      <c r="N74" s="19">
        <v>0</v>
      </c>
      <c r="O74" s="19">
        <f t="shared" si="7"/>
        <v>11940000</v>
      </c>
      <c r="P74" s="17" t="s">
        <v>185</v>
      </c>
      <c r="R74" s="31"/>
    </row>
    <row r="75" spans="1:18" x14ac:dyDescent="0.3">
      <c r="A75" s="9" t="s">
        <v>196</v>
      </c>
      <c r="B75" s="10" t="s">
        <v>1984</v>
      </c>
      <c r="C75" s="11" t="s">
        <v>243</v>
      </c>
      <c r="D75" s="12">
        <v>44015</v>
      </c>
      <c r="E75" s="12">
        <v>44015</v>
      </c>
      <c r="F75" s="13">
        <v>14970000</v>
      </c>
      <c r="G75" s="14">
        <v>0</v>
      </c>
      <c r="H75" s="9" t="s">
        <v>73</v>
      </c>
      <c r="I75" s="15">
        <v>8600621471</v>
      </c>
      <c r="J75" s="16" t="s">
        <v>244</v>
      </c>
      <c r="K75" s="17">
        <v>3000</v>
      </c>
      <c r="L75" s="18" t="s">
        <v>21</v>
      </c>
      <c r="M75" s="19">
        <v>4990</v>
      </c>
      <c r="N75" s="19">
        <v>0</v>
      </c>
      <c r="O75" s="19">
        <f t="shared" si="7"/>
        <v>14970000</v>
      </c>
      <c r="P75" s="17" t="s">
        <v>75</v>
      </c>
      <c r="R75" s="31"/>
    </row>
    <row r="76" spans="1:18" x14ac:dyDescent="0.3">
      <c r="A76" s="9" t="s">
        <v>196</v>
      </c>
      <c r="B76" s="10" t="s">
        <v>1985</v>
      </c>
      <c r="C76" s="11" t="s">
        <v>245</v>
      </c>
      <c r="D76" s="12">
        <v>44034</v>
      </c>
      <c r="E76" s="12">
        <v>44034</v>
      </c>
      <c r="F76" s="13">
        <v>15913335</v>
      </c>
      <c r="G76" s="14">
        <v>0</v>
      </c>
      <c r="H76" s="9" t="s">
        <v>246</v>
      </c>
      <c r="I76" s="15">
        <v>9005644591</v>
      </c>
      <c r="J76" s="16" t="s">
        <v>247</v>
      </c>
      <c r="K76" s="17">
        <v>50</v>
      </c>
      <c r="L76" s="18" t="s">
        <v>21</v>
      </c>
      <c r="M76" s="19">
        <v>267451.26050420169</v>
      </c>
      <c r="N76" s="19">
        <f>M76*0.19</f>
        <v>50815.73949579832</v>
      </c>
      <c r="O76" s="19">
        <f t="shared" si="7"/>
        <v>15913350</v>
      </c>
      <c r="P76" s="17" t="s">
        <v>1751</v>
      </c>
      <c r="R76" s="31"/>
    </row>
    <row r="77" spans="1:18" x14ac:dyDescent="0.3">
      <c r="A77" s="9" t="s">
        <v>196</v>
      </c>
      <c r="B77" s="10" t="s">
        <v>1986</v>
      </c>
      <c r="C77" s="11" t="s">
        <v>248</v>
      </c>
      <c r="D77" s="12">
        <v>44034</v>
      </c>
      <c r="E77" s="12">
        <v>44034</v>
      </c>
      <c r="F77" s="13">
        <v>27417000</v>
      </c>
      <c r="G77" s="14">
        <v>0</v>
      </c>
      <c r="H77" s="9" t="s">
        <v>249</v>
      </c>
      <c r="I77" s="15">
        <v>9005671308</v>
      </c>
      <c r="J77" s="16" t="s">
        <v>505</v>
      </c>
      <c r="K77" s="17">
        <v>703</v>
      </c>
      <c r="L77" s="18" t="s">
        <v>70</v>
      </c>
      <c r="M77" s="19">
        <v>39000</v>
      </c>
      <c r="N77" s="19">
        <v>0</v>
      </c>
      <c r="O77" s="19">
        <f t="shared" si="7"/>
        <v>27417000</v>
      </c>
      <c r="P77" s="17" t="s">
        <v>69</v>
      </c>
      <c r="R77" s="31"/>
    </row>
    <row r="78" spans="1:18" x14ac:dyDescent="0.3">
      <c r="A78" s="9" t="s">
        <v>196</v>
      </c>
      <c r="B78" s="10" t="s">
        <v>1987</v>
      </c>
      <c r="C78" s="11" t="s">
        <v>250</v>
      </c>
      <c r="D78" s="12">
        <v>44035</v>
      </c>
      <c r="E78" s="12">
        <v>44035</v>
      </c>
      <c r="F78" s="13">
        <v>30011800</v>
      </c>
      <c r="G78" s="14">
        <v>0</v>
      </c>
      <c r="H78" s="9" t="s">
        <v>251</v>
      </c>
      <c r="I78" s="15">
        <v>9001413756</v>
      </c>
      <c r="J78" s="16" t="s">
        <v>252</v>
      </c>
      <c r="K78" s="17">
        <v>388</v>
      </c>
      <c r="L78" s="18" t="s">
        <v>21</v>
      </c>
      <c r="M78" s="19">
        <v>65000</v>
      </c>
      <c r="N78" s="19">
        <f>M78*0.19</f>
        <v>12350</v>
      </c>
      <c r="O78" s="19">
        <f t="shared" si="7"/>
        <v>30011800</v>
      </c>
      <c r="P78" s="17" t="s">
        <v>82</v>
      </c>
      <c r="R78" s="31"/>
    </row>
    <row r="79" spans="1:18" x14ac:dyDescent="0.3">
      <c r="A79" s="9" t="s">
        <v>196</v>
      </c>
      <c r="B79" s="10" t="s">
        <v>1988</v>
      </c>
      <c r="C79" s="11" t="s">
        <v>253</v>
      </c>
      <c r="D79" s="12">
        <v>44036</v>
      </c>
      <c r="E79" s="12">
        <v>44036</v>
      </c>
      <c r="F79" s="13">
        <v>18420129</v>
      </c>
      <c r="G79" s="14">
        <v>0</v>
      </c>
      <c r="H79" s="9" t="s">
        <v>254</v>
      </c>
      <c r="I79" s="15">
        <v>830037946</v>
      </c>
      <c r="J79" s="16" t="s">
        <v>255</v>
      </c>
      <c r="K79" s="17">
        <v>117</v>
      </c>
      <c r="L79" s="18" t="s">
        <v>256</v>
      </c>
      <c r="M79" s="19">
        <v>157437</v>
      </c>
      <c r="N79" s="19">
        <v>0</v>
      </c>
      <c r="O79" s="19">
        <f t="shared" si="7"/>
        <v>18420129</v>
      </c>
      <c r="P79" s="17" t="s">
        <v>257</v>
      </c>
      <c r="R79" s="31"/>
    </row>
    <row r="80" spans="1:18" x14ac:dyDescent="0.3">
      <c r="A80" s="9" t="s">
        <v>196</v>
      </c>
      <c r="B80" s="10" t="s">
        <v>1989</v>
      </c>
      <c r="C80" s="11" t="s">
        <v>258</v>
      </c>
      <c r="D80" s="12">
        <v>44036</v>
      </c>
      <c r="E80" s="12">
        <v>44036</v>
      </c>
      <c r="F80" s="13">
        <v>84252000</v>
      </c>
      <c r="G80" s="14">
        <v>0</v>
      </c>
      <c r="H80" s="9" t="s">
        <v>251</v>
      </c>
      <c r="I80" s="15">
        <v>9001413756</v>
      </c>
      <c r="J80" s="16" t="s">
        <v>259</v>
      </c>
      <c r="K80" s="17">
        <v>59</v>
      </c>
      <c r="L80" s="18" t="s">
        <v>21</v>
      </c>
      <c r="M80" s="19">
        <v>1200000</v>
      </c>
      <c r="N80" s="19">
        <f>M80*0.19</f>
        <v>228000</v>
      </c>
      <c r="O80" s="19">
        <f t="shared" si="7"/>
        <v>84252000</v>
      </c>
      <c r="P80" s="17" t="s">
        <v>65</v>
      </c>
      <c r="R80" s="31"/>
    </row>
    <row r="81" spans="1:1448 2892:14418" x14ac:dyDescent="0.3">
      <c r="A81" s="9" t="s">
        <v>196</v>
      </c>
      <c r="B81" s="10" t="s">
        <v>1990</v>
      </c>
      <c r="C81" s="11" t="s">
        <v>260</v>
      </c>
      <c r="D81" s="12">
        <v>44048</v>
      </c>
      <c r="E81" s="12">
        <v>44048</v>
      </c>
      <c r="F81" s="13">
        <v>7076358</v>
      </c>
      <c r="G81" s="14">
        <v>0</v>
      </c>
      <c r="H81" s="9" t="s">
        <v>254</v>
      </c>
      <c r="I81" s="15">
        <v>830037946</v>
      </c>
      <c r="J81" s="16" t="s">
        <v>260</v>
      </c>
      <c r="K81" s="17">
        <v>131</v>
      </c>
      <c r="L81" s="18" t="s">
        <v>21</v>
      </c>
      <c r="M81" s="19">
        <v>54018</v>
      </c>
      <c r="N81" s="19">
        <v>0</v>
      </c>
      <c r="O81" s="19">
        <f t="shared" si="7"/>
        <v>7076358</v>
      </c>
      <c r="P81" s="17" t="s">
        <v>98</v>
      </c>
      <c r="R81" s="31"/>
    </row>
    <row r="82" spans="1:1448 2892:14418" x14ac:dyDescent="0.3">
      <c r="A82" s="9" t="s">
        <v>196</v>
      </c>
      <c r="B82" s="10" t="s">
        <v>1990</v>
      </c>
      <c r="C82" s="11" t="s">
        <v>260</v>
      </c>
      <c r="D82" s="12">
        <v>44048</v>
      </c>
      <c r="E82" s="12">
        <v>44048</v>
      </c>
      <c r="F82" s="13">
        <v>7076358</v>
      </c>
      <c r="G82" s="14">
        <v>0</v>
      </c>
      <c r="H82" s="9" t="s">
        <v>254</v>
      </c>
      <c r="I82" s="15">
        <v>830037946</v>
      </c>
      <c r="J82" s="16" t="s">
        <v>260</v>
      </c>
      <c r="K82" s="17">
        <v>131</v>
      </c>
      <c r="L82" s="18" t="s">
        <v>21</v>
      </c>
      <c r="M82" s="19">
        <v>54018</v>
      </c>
      <c r="N82" s="19">
        <v>0</v>
      </c>
      <c r="O82" s="19">
        <f t="shared" si="7"/>
        <v>7076358</v>
      </c>
      <c r="P82" s="17" t="s">
        <v>98</v>
      </c>
      <c r="R82" s="31"/>
      <c r="YY82">
        <v>44048</v>
      </c>
      <c r="YZ82">
        <v>7076358</v>
      </c>
      <c r="ZA82">
        <v>0</v>
      </c>
      <c r="ZB82" t="s">
        <v>254</v>
      </c>
      <c r="ZC82">
        <v>830037946</v>
      </c>
      <c r="ZD82" t="s">
        <v>260</v>
      </c>
      <c r="ZE82">
        <v>131</v>
      </c>
      <c r="ZF82" t="s">
        <v>261</v>
      </c>
      <c r="ZG82">
        <v>54018</v>
      </c>
      <c r="ZH82">
        <v>0</v>
      </c>
      <c r="ZI82">
        <v>7076358</v>
      </c>
      <c r="ZJ82" t="s">
        <v>262</v>
      </c>
      <c r="ZK82" t="s">
        <v>196</v>
      </c>
      <c r="ZL82">
        <v>53248</v>
      </c>
      <c r="ZM82" t="s">
        <v>260</v>
      </c>
      <c r="ZN82">
        <v>44048</v>
      </c>
      <c r="ZO82">
        <v>44048</v>
      </c>
      <c r="ZP82">
        <v>7076358</v>
      </c>
      <c r="ZQ82">
        <v>0</v>
      </c>
      <c r="ZR82" t="s">
        <v>254</v>
      </c>
      <c r="ZS82">
        <v>830037946</v>
      </c>
      <c r="ZT82" t="s">
        <v>260</v>
      </c>
      <c r="ZU82">
        <v>131</v>
      </c>
      <c r="ZV82" t="s">
        <v>261</v>
      </c>
      <c r="ZW82">
        <v>54018</v>
      </c>
      <c r="ZX82">
        <v>0</v>
      </c>
      <c r="ZY82">
        <v>7076358</v>
      </c>
      <c r="ZZ82" t="s">
        <v>262</v>
      </c>
      <c r="AAA82" t="s">
        <v>196</v>
      </c>
      <c r="AAB82">
        <v>53248</v>
      </c>
      <c r="AAC82" t="s">
        <v>260</v>
      </c>
      <c r="AAD82">
        <v>44048</v>
      </c>
      <c r="AAE82">
        <v>44048</v>
      </c>
      <c r="AAF82">
        <v>7076358</v>
      </c>
      <c r="AAG82">
        <v>0</v>
      </c>
      <c r="AAH82" t="s">
        <v>254</v>
      </c>
      <c r="AAI82">
        <v>830037946</v>
      </c>
      <c r="AAJ82" t="s">
        <v>260</v>
      </c>
      <c r="AAK82">
        <v>131</v>
      </c>
      <c r="AAL82" t="s">
        <v>261</v>
      </c>
      <c r="AAM82">
        <v>54018</v>
      </c>
      <c r="AAN82">
        <v>0</v>
      </c>
      <c r="AAO82">
        <v>7076358</v>
      </c>
      <c r="AAP82" t="s">
        <v>262</v>
      </c>
      <c r="AAQ82" t="s">
        <v>196</v>
      </c>
      <c r="AAR82">
        <v>53248</v>
      </c>
      <c r="AAS82" t="s">
        <v>260</v>
      </c>
      <c r="AAT82">
        <v>44048</v>
      </c>
      <c r="AAU82">
        <v>44048</v>
      </c>
      <c r="AAV82">
        <v>7076358</v>
      </c>
      <c r="AAW82">
        <v>0</v>
      </c>
      <c r="AAX82" t="s">
        <v>254</v>
      </c>
      <c r="AAY82">
        <v>830037946</v>
      </c>
      <c r="AAZ82" t="s">
        <v>260</v>
      </c>
      <c r="ABA82">
        <v>131</v>
      </c>
      <c r="ABB82" t="s">
        <v>261</v>
      </c>
      <c r="ABC82">
        <v>54018</v>
      </c>
      <c r="ABD82">
        <v>0</v>
      </c>
      <c r="ABE82">
        <v>7076358</v>
      </c>
      <c r="ABF82" t="s">
        <v>262</v>
      </c>
      <c r="ABG82" t="s">
        <v>196</v>
      </c>
      <c r="ABH82">
        <v>53248</v>
      </c>
      <c r="ABI82" t="s">
        <v>260</v>
      </c>
      <c r="ABJ82">
        <v>44048</v>
      </c>
      <c r="ABK82">
        <v>44048</v>
      </c>
      <c r="ABL82">
        <v>7076358</v>
      </c>
      <c r="ABM82">
        <v>0</v>
      </c>
      <c r="ABN82" t="s">
        <v>254</v>
      </c>
      <c r="ABO82">
        <v>830037946</v>
      </c>
      <c r="ABP82" t="s">
        <v>260</v>
      </c>
      <c r="ABQ82">
        <v>131</v>
      </c>
      <c r="ABR82" t="s">
        <v>261</v>
      </c>
      <c r="ABS82">
        <v>54018</v>
      </c>
      <c r="ABT82">
        <v>0</v>
      </c>
      <c r="ABU82">
        <v>7076358</v>
      </c>
      <c r="ABV82" t="s">
        <v>262</v>
      </c>
      <c r="ABW82" t="s">
        <v>196</v>
      </c>
      <c r="ABX82">
        <v>53248</v>
      </c>
      <c r="ABY82" t="s">
        <v>260</v>
      </c>
      <c r="ABZ82">
        <v>44048</v>
      </c>
      <c r="ACA82">
        <v>44048</v>
      </c>
      <c r="ACB82">
        <v>7076358</v>
      </c>
      <c r="ACC82">
        <v>0</v>
      </c>
      <c r="ACD82" t="s">
        <v>254</v>
      </c>
      <c r="ACE82">
        <v>830037946</v>
      </c>
      <c r="ACF82" t="s">
        <v>260</v>
      </c>
      <c r="ACG82">
        <v>131</v>
      </c>
      <c r="ACH82" t="s">
        <v>261</v>
      </c>
      <c r="ACI82">
        <v>54018</v>
      </c>
      <c r="ACJ82">
        <v>0</v>
      </c>
      <c r="ACK82">
        <v>7076358</v>
      </c>
      <c r="ACL82" t="s">
        <v>262</v>
      </c>
      <c r="ACM82" t="s">
        <v>196</v>
      </c>
      <c r="ACN82">
        <v>53248</v>
      </c>
      <c r="ACO82" t="s">
        <v>260</v>
      </c>
      <c r="ACP82">
        <v>44048</v>
      </c>
      <c r="ACQ82">
        <v>44048</v>
      </c>
      <c r="ACR82">
        <v>7076358</v>
      </c>
      <c r="ACS82">
        <v>0</v>
      </c>
      <c r="ACT82" t="s">
        <v>254</v>
      </c>
      <c r="ACU82">
        <v>830037946</v>
      </c>
      <c r="ACV82" t="s">
        <v>260</v>
      </c>
      <c r="ACW82">
        <v>131</v>
      </c>
      <c r="ACX82" t="s">
        <v>261</v>
      </c>
      <c r="ACY82">
        <v>54018</v>
      </c>
      <c r="ACZ82">
        <v>0</v>
      </c>
      <c r="ADA82">
        <v>7076358</v>
      </c>
      <c r="ADB82" t="s">
        <v>262</v>
      </c>
      <c r="ADC82" t="s">
        <v>196</v>
      </c>
      <c r="ADD82">
        <v>53248</v>
      </c>
      <c r="ADE82" t="s">
        <v>260</v>
      </c>
      <c r="ADF82">
        <v>44048</v>
      </c>
      <c r="ADG82">
        <v>44048</v>
      </c>
      <c r="ADH82">
        <v>7076358</v>
      </c>
      <c r="ADI82">
        <v>0</v>
      </c>
      <c r="ADJ82" t="s">
        <v>254</v>
      </c>
      <c r="ADK82">
        <v>830037946</v>
      </c>
      <c r="ADL82" t="s">
        <v>260</v>
      </c>
      <c r="ADM82">
        <v>131</v>
      </c>
      <c r="ADN82" t="s">
        <v>261</v>
      </c>
      <c r="ADO82">
        <v>54018</v>
      </c>
      <c r="ADP82">
        <v>0</v>
      </c>
      <c r="ADQ82">
        <v>7076358</v>
      </c>
      <c r="ADR82" t="s">
        <v>262</v>
      </c>
      <c r="ADS82" t="s">
        <v>196</v>
      </c>
      <c r="ADT82">
        <v>53248</v>
      </c>
      <c r="ADU82" t="s">
        <v>260</v>
      </c>
      <c r="ADV82">
        <v>44048</v>
      </c>
      <c r="ADW82">
        <v>44048</v>
      </c>
      <c r="ADX82">
        <v>7076358</v>
      </c>
      <c r="ADY82">
        <v>0</v>
      </c>
      <c r="ADZ82" t="s">
        <v>254</v>
      </c>
      <c r="AEA82">
        <v>830037946</v>
      </c>
      <c r="AEB82" t="s">
        <v>260</v>
      </c>
      <c r="AEC82">
        <v>131</v>
      </c>
      <c r="AED82" t="s">
        <v>261</v>
      </c>
      <c r="AEE82">
        <v>54018</v>
      </c>
      <c r="AEF82">
        <v>0</v>
      </c>
      <c r="AEG82">
        <v>7076358</v>
      </c>
      <c r="AEH82" t="s">
        <v>262</v>
      </c>
      <c r="AEI82" t="s">
        <v>196</v>
      </c>
      <c r="AEJ82">
        <v>53248</v>
      </c>
      <c r="AEK82" t="s">
        <v>260</v>
      </c>
      <c r="AEL82">
        <v>44048</v>
      </c>
      <c r="AEM82">
        <v>44048</v>
      </c>
      <c r="AEN82">
        <v>7076358</v>
      </c>
      <c r="AEO82">
        <v>0</v>
      </c>
      <c r="AEP82" t="s">
        <v>254</v>
      </c>
      <c r="AEQ82">
        <v>830037946</v>
      </c>
      <c r="AER82" t="s">
        <v>260</v>
      </c>
      <c r="AES82">
        <v>131</v>
      </c>
      <c r="AET82" t="s">
        <v>261</v>
      </c>
      <c r="AEU82">
        <v>54018</v>
      </c>
      <c r="AEV82">
        <v>0</v>
      </c>
      <c r="AEW82">
        <v>7076358</v>
      </c>
      <c r="AEX82" t="s">
        <v>262</v>
      </c>
      <c r="AEY82" t="s">
        <v>196</v>
      </c>
      <c r="AEZ82">
        <v>53248</v>
      </c>
      <c r="AFA82" t="s">
        <v>260</v>
      </c>
      <c r="AFB82">
        <v>44048</v>
      </c>
      <c r="AFC82">
        <v>44048</v>
      </c>
      <c r="AFD82">
        <v>7076358</v>
      </c>
      <c r="AFE82">
        <v>0</v>
      </c>
      <c r="AFF82" t="s">
        <v>254</v>
      </c>
      <c r="AFG82">
        <v>830037946</v>
      </c>
      <c r="AFH82" t="s">
        <v>260</v>
      </c>
      <c r="AFI82">
        <v>131</v>
      </c>
      <c r="AFJ82" t="s">
        <v>261</v>
      </c>
      <c r="AFK82">
        <v>54018</v>
      </c>
      <c r="AFL82">
        <v>0</v>
      </c>
      <c r="AFM82">
        <v>7076358</v>
      </c>
      <c r="AFN82" t="s">
        <v>262</v>
      </c>
      <c r="AFO82" t="s">
        <v>196</v>
      </c>
      <c r="AFP82">
        <v>53248</v>
      </c>
      <c r="AFQ82" t="s">
        <v>260</v>
      </c>
      <c r="AFR82">
        <v>44048</v>
      </c>
      <c r="AFS82">
        <v>44048</v>
      </c>
      <c r="AFT82">
        <v>7076358</v>
      </c>
      <c r="AFU82">
        <v>0</v>
      </c>
      <c r="AFV82" t="s">
        <v>254</v>
      </c>
      <c r="AFW82">
        <v>830037946</v>
      </c>
      <c r="AFX82" t="s">
        <v>260</v>
      </c>
      <c r="AFY82">
        <v>131</v>
      </c>
      <c r="AFZ82" t="s">
        <v>261</v>
      </c>
      <c r="AGA82">
        <v>54018</v>
      </c>
      <c r="AGB82">
        <v>0</v>
      </c>
      <c r="AGC82">
        <v>7076358</v>
      </c>
      <c r="AGD82" t="s">
        <v>262</v>
      </c>
      <c r="AGE82" t="s">
        <v>196</v>
      </c>
      <c r="AGF82">
        <v>53248</v>
      </c>
      <c r="AGG82" t="s">
        <v>260</v>
      </c>
      <c r="AGH82">
        <v>44048</v>
      </c>
      <c r="AGI82">
        <v>44048</v>
      </c>
      <c r="AGJ82">
        <v>7076358</v>
      </c>
      <c r="AGK82">
        <v>0</v>
      </c>
      <c r="AGL82" t="s">
        <v>254</v>
      </c>
      <c r="AGM82">
        <v>830037946</v>
      </c>
      <c r="AGN82" t="s">
        <v>260</v>
      </c>
      <c r="AGO82">
        <v>131</v>
      </c>
      <c r="AGP82" t="s">
        <v>261</v>
      </c>
      <c r="AGQ82">
        <v>54018</v>
      </c>
      <c r="AGR82">
        <v>0</v>
      </c>
      <c r="AGS82">
        <v>7076358</v>
      </c>
      <c r="AGT82" t="s">
        <v>262</v>
      </c>
      <c r="AGU82" t="s">
        <v>196</v>
      </c>
      <c r="AGV82">
        <v>53248</v>
      </c>
      <c r="AGW82" t="s">
        <v>260</v>
      </c>
      <c r="AGX82">
        <v>44048</v>
      </c>
      <c r="AGY82">
        <v>44048</v>
      </c>
      <c r="AGZ82">
        <v>7076358</v>
      </c>
      <c r="AHA82">
        <v>0</v>
      </c>
      <c r="AHB82" t="s">
        <v>254</v>
      </c>
      <c r="AHC82">
        <v>830037946</v>
      </c>
      <c r="AHD82" t="s">
        <v>260</v>
      </c>
      <c r="AHE82">
        <v>131</v>
      </c>
      <c r="AHF82" t="s">
        <v>261</v>
      </c>
      <c r="AHG82">
        <v>54018</v>
      </c>
      <c r="AHH82">
        <v>0</v>
      </c>
      <c r="AHI82">
        <v>7076358</v>
      </c>
      <c r="AHJ82" t="s">
        <v>262</v>
      </c>
      <c r="AHK82" t="s">
        <v>196</v>
      </c>
      <c r="AHL82">
        <v>53248</v>
      </c>
      <c r="AHM82" t="s">
        <v>260</v>
      </c>
      <c r="AHN82">
        <v>44048</v>
      </c>
      <c r="AHO82">
        <v>44048</v>
      </c>
      <c r="AHP82">
        <v>7076358</v>
      </c>
      <c r="AHQ82">
        <v>0</v>
      </c>
      <c r="AHR82" t="s">
        <v>254</v>
      </c>
      <c r="AHS82">
        <v>830037946</v>
      </c>
      <c r="AHT82" t="s">
        <v>260</v>
      </c>
      <c r="AHU82">
        <v>131</v>
      </c>
      <c r="AHV82" t="s">
        <v>261</v>
      </c>
      <c r="AHW82">
        <v>54018</v>
      </c>
      <c r="AHX82">
        <v>0</v>
      </c>
      <c r="AHY82">
        <v>7076358</v>
      </c>
      <c r="AHZ82" t="s">
        <v>262</v>
      </c>
      <c r="AIA82" t="s">
        <v>196</v>
      </c>
      <c r="AIB82">
        <v>53248</v>
      </c>
      <c r="AIC82" t="s">
        <v>260</v>
      </c>
      <c r="AID82">
        <v>44048</v>
      </c>
      <c r="AIE82">
        <v>44048</v>
      </c>
      <c r="AIF82">
        <v>7076358</v>
      </c>
      <c r="AIG82">
        <v>0</v>
      </c>
      <c r="AIH82" t="s">
        <v>254</v>
      </c>
      <c r="AII82">
        <v>830037946</v>
      </c>
      <c r="AIJ82" t="s">
        <v>260</v>
      </c>
      <c r="AIK82">
        <v>131</v>
      </c>
      <c r="AIL82" t="s">
        <v>261</v>
      </c>
      <c r="AIM82">
        <v>54018</v>
      </c>
      <c r="AIN82">
        <v>0</v>
      </c>
      <c r="AIO82">
        <v>7076358</v>
      </c>
      <c r="AIP82" t="s">
        <v>262</v>
      </c>
      <c r="AIQ82" t="s">
        <v>196</v>
      </c>
      <c r="AIR82">
        <v>53248</v>
      </c>
      <c r="AIS82" t="s">
        <v>260</v>
      </c>
      <c r="AIT82">
        <v>44048</v>
      </c>
      <c r="AIU82">
        <v>44048</v>
      </c>
      <c r="AIV82">
        <v>7076358</v>
      </c>
      <c r="AIW82">
        <v>0</v>
      </c>
      <c r="AIX82" t="s">
        <v>254</v>
      </c>
      <c r="AIY82">
        <v>830037946</v>
      </c>
      <c r="AIZ82" t="s">
        <v>260</v>
      </c>
      <c r="AJA82">
        <v>131</v>
      </c>
      <c r="AJB82" t="s">
        <v>261</v>
      </c>
      <c r="AJC82">
        <v>54018</v>
      </c>
      <c r="AJD82">
        <v>0</v>
      </c>
      <c r="AJE82">
        <v>7076358</v>
      </c>
      <c r="AJF82" t="s">
        <v>262</v>
      </c>
      <c r="AJG82" t="s">
        <v>196</v>
      </c>
      <c r="AJH82">
        <v>53248</v>
      </c>
      <c r="AJI82" t="s">
        <v>260</v>
      </c>
      <c r="AJJ82">
        <v>44048</v>
      </c>
      <c r="AJK82">
        <v>44048</v>
      </c>
      <c r="AJL82">
        <v>7076358</v>
      </c>
      <c r="AJM82">
        <v>0</v>
      </c>
      <c r="AJN82" t="s">
        <v>254</v>
      </c>
      <c r="AJO82">
        <v>830037946</v>
      </c>
      <c r="AJP82" t="s">
        <v>260</v>
      </c>
      <c r="AJQ82">
        <v>131</v>
      </c>
      <c r="AJR82" t="s">
        <v>261</v>
      </c>
      <c r="AJS82">
        <v>54018</v>
      </c>
      <c r="AJT82">
        <v>0</v>
      </c>
      <c r="AJU82">
        <v>7076358</v>
      </c>
      <c r="AJV82" t="s">
        <v>262</v>
      </c>
      <c r="AJW82" t="s">
        <v>196</v>
      </c>
      <c r="AJX82">
        <v>53248</v>
      </c>
      <c r="AJY82" t="s">
        <v>260</v>
      </c>
      <c r="AJZ82">
        <v>44048</v>
      </c>
      <c r="AKA82">
        <v>44048</v>
      </c>
      <c r="AKB82">
        <v>7076358</v>
      </c>
      <c r="AKC82">
        <v>0</v>
      </c>
      <c r="AKD82" t="s">
        <v>254</v>
      </c>
      <c r="AKE82">
        <v>830037946</v>
      </c>
      <c r="AKF82" t="s">
        <v>260</v>
      </c>
      <c r="AKG82">
        <v>131</v>
      </c>
      <c r="AKH82" t="s">
        <v>261</v>
      </c>
      <c r="AKI82">
        <v>54018</v>
      </c>
      <c r="AKJ82">
        <v>0</v>
      </c>
      <c r="AKK82">
        <v>7076358</v>
      </c>
      <c r="AKL82" t="s">
        <v>262</v>
      </c>
      <c r="AKM82" t="s">
        <v>196</v>
      </c>
      <c r="AKN82">
        <v>53248</v>
      </c>
      <c r="AKO82" t="s">
        <v>260</v>
      </c>
      <c r="AKP82">
        <v>44048</v>
      </c>
      <c r="AKQ82">
        <v>44048</v>
      </c>
      <c r="AKR82">
        <v>7076358</v>
      </c>
      <c r="AKS82">
        <v>0</v>
      </c>
      <c r="AKT82" t="s">
        <v>254</v>
      </c>
      <c r="AKU82">
        <v>830037946</v>
      </c>
      <c r="AKV82" t="s">
        <v>260</v>
      </c>
      <c r="AKW82">
        <v>131</v>
      </c>
      <c r="AKX82" t="s">
        <v>261</v>
      </c>
      <c r="AKY82">
        <v>54018</v>
      </c>
      <c r="AKZ82">
        <v>0</v>
      </c>
      <c r="ALA82">
        <v>7076358</v>
      </c>
      <c r="ALB82" t="s">
        <v>262</v>
      </c>
      <c r="ALC82" t="s">
        <v>196</v>
      </c>
      <c r="ALD82">
        <v>53248</v>
      </c>
      <c r="ALE82" t="s">
        <v>260</v>
      </c>
      <c r="ALF82">
        <v>44048</v>
      </c>
      <c r="ALG82">
        <v>44048</v>
      </c>
      <c r="ALH82">
        <v>7076358</v>
      </c>
      <c r="ALI82">
        <v>0</v>
      </c>
      <c r="ALJ82" t="s">
        <v>254</v>
      </c>
      <c r="ALK82">
        <v>830037946</v>
      </c>
      <c r="ALL82" t="s">
        <v>260</v>
      </c>
      <c r="ALM82">
        <v>131</v>
      </c>
      <c r="ALN82" t="s">
        <v>261</v>
      </c>
      <c r="ALO82">
        <v>54018</v>
      </c>
      <c r="ALP82">
        <v>0</v>
      </c>
      <c r="ALQ82">
        <v>7076358</v>
      </c>
      <c r="ALR82" t="s">
        <v>262</v>
      </c>
      <c r="ALS82" t="s">
        <v>196</v>
      </c>
      <c r="ALT82">
        <v>53248</v>
      </c>
      <c r="ALU82" t="s">
        <v>260</v>
      </c>
      <c r="ALV82">
        <v>44048</v>
      </c>
      <c r="ALW82">
        <v>44048</v>
      </c>
      <c r="ALX82">
        <v>7076358</v>
      </c>
      <c r="ALY82">
        <v>0</v>
      </c>
      <c r="ALZ82" t="s">
        <v>254</v>
      </c>
      <c r="AMA82">
        <v>830037946</v>
      </c>
      <c r="AMB82" t="s">
        <v>260</v>
      </c>
      <c r="AMC82">
        <v>131</v>
      </c>
      <c r="AMD82" t="s">
        <v>261</v>
      </c>
      <c r="AME82">
        <v>54018</v>
      </c>
      <c r="AMF82">
        <v>0</v>
      </c>
      <c r="AMG82">
        <v>7076358</v>
      </c>
      <c r="AMH82" t="s">
        <v>262</v>
      </c>
      <c r="AMI82" t="s">
        <v>196</v>
      </c>
      <c r="AMJ82">
        <v>53248</v>
      </c>
      <c r="AMK82" t="s">
        <v>260</v>
      </c>
      <c r="AML82">
        <v>44048</v>
      </c>
      <c r="AMM82">
        <v>44048</v>
      </c>
      <c r="AMN82">
        <v>7076358</v>
      </c>
      <c r="AMO82">
        <v>0</v>
      </c>
      <c r="AMP82" t="s">
        <v>254</v>
      </c>
      <c r="AMQ82">
        <v>830037946</v>
      </c>
      <c r="AMR82" t="s">
        <v>260</v>
      </c>
      <c r="AMS82">
        <v>131</v>
      </c>
      <c r="AMT82" t="s">
        <v>261</v>
      </c>
      <c r="AMU82">
        <v>54018</v>
      </c>
      <c r="AMV82">
        <v>0</v>
      </c>
      <c r="AMW82">
        <v>7076358</v>
      </c>
      <c r="AMX82" t="s">
        <v>262</v>
      </c>
      <c r="AMY82" t="s">
        <v>196</v>
      </c>
      <c r="AMZ82">
        <v>53248</v>
      </c>
      <c r="ANA82" t="s">
        <v>260</v>
      </c>
      <c r="ANB82">
        <v>44048</v>
      </c>
      <c r="ANC82">
        <v>44048</v>
      </c>
      <c r="AND82">
        <v>7076358</v>
      </c>
      <c r="ANE82">
        <v>0</v>
      </c>
      <c r="ANF82" t="s">
        <v>254</v>
      </c>
      <c r="ANG82">
        <v>830037946</v>
      </c>
      <c r="ANH82" t="s">
        <v>260</v>
      </c>
      <c r="ANI82">
        <v>131</v>
      </c>
      <c r="ANJ82" t="s">
        <v>261</v>
      </c>
      <c r="ANK82">
        <v>54018</v>
      </c>
      <c r="ANL82">
        <v>0</v>
      </c>
      <c r="ANM82">
        <v>7076358</v>
      </c>
      <c r="ANN82" t="s">
        <v>262</v>
      </c>
      <c r="ANO82" t="s">
        <v>196</v>
      </c>
      <c r="ANP82">
        <v>53248</v>
      </c>
      <c r="ANQ82" t="s">
        <v>260</v>
      </c>
      <c r="ANR82">
        <v>44048</v>
      </c>
      <c r="ANS82">
        <v>44048</v>
      </c>
      <c r="ANT82">
        <v>7076358</v>
      </c>
      <c r="ANU82">
        <v>0</v>
      </c>
      <c r="ANV82" t="s">
        <v>254</v>
      </c>
      <c r="ANW82">
        <v>830037946</v>
      </c>
      <c r="ANX82" t="s">
        <v>260</v>
      </c>
      <c r="ANY82">
        <v>131</v>
      </c>
      <c r="ANZ82" t="s">
        <v>261</v>
      </c>
      <c r="AOA82">
        <v>54018</v>
      </c>
      <c r="AOB82">
        <v>0</v>
      </c>
      <c r="AOC82">
        <v>7076358</v>
      </c>
      <c r="AOD82" t="s">
        <v>262</v>
      </c>
      <c r="AOE82" t="s">
        <v>196</v>
      </c>
      <c r="AOF82">
        <v>53248</v>
      </c>
      <c r="AOG82" t="s">
        <v>260</v>
      </c>
      <c r="AOH82">
        <v>44048</v>
      </c>
      <c r="AOI82">
        <v>44048</v>
      </c>
      <c r="AOJ82">
        <v>7076358</v>
      </c>
      <c r="AOK82">
        <v>0</v>
      </c>
      <c r="AOL82" t="s">
        <v>254</v>
      </c>
      <c r="AOM82">
        <v>830037946</v>
      </c>
      <c r="AON82" t="s">
        <v>260</v>
      </c>
      <c r="AOO82">
        <v>131</v>
      </c>
      <c r="AOP82" t="s">
        <v>261</v>
      </c>
      <c r="AOQ82">
        <v>54018</v>
      </c>
      <c r="AOR82">
        <v>0</v>
      </c>
      <c r="AOS82">
        <v>7076358</v>
      </c>
      <c r="AOT82" t="s">
        <v>262</v>
      </c>
      <c r="AOU82" t="s">
        <v>196</v>
      </c>
      <c r="AOV82">
        <v>53248</v>
      </c>
      <c r="AOW82" t="s">
        <v>260</v>
      </c>
      <c r="AOX82">
        <v>44048</v>
      </c>
      <c r="AOY82">
        <v>44048</v>
      </c>
      <c r="AOZ82">
        <v>7076358</v>
      </c>
      <c r="APA82">
        <v>0</v>
      </c>
      <c r="APB82" t="s">
        <v>254</v>
      </c>
      <c r="APC82">
        <v>830037946</v>
      </c>
      <c r="APD82" t="s">
        <v>260</v>
      </c>
      <c r="APE82">
        <v>131</v>
      </c>
      <c r="APF82" t="s">
        <v>261</v>
      </c>
      <c r="APG82">
        <v>54018</v>
      </c>
      <c r="APH82">
        <v>0</v>
      </c>
      <c r="API82">
        <v>7076358</v>
      </c>
      <c r="APJ82" t="s">
        <v>262</v>
      </c>
      <c r="APK82" t="s">
        <v>196</v>
      </c>
      <c r="APL82">
        <v>53248</v>
      </c>
      <c r="APM82" t="s">
        <v>260</v>
      </c>
      <c r="APN82">
        <v>44048</v>
      </c>
      <c r="APO82">
        <v>44048</v>
      </c>
      <c r="APP82">
        <v>7076358</v>
      </c>
      <c r="APQ82">
        <v>0</v>
      </c>
      <c r="APR82" t="s">
        <v>254</v>
      </c>
      <c r="APS82">
        <v>830037946</v>
      </c>
      <c r="APT82" t="s">
        <v>260</v>
      </c>
      <c r="APU82">
        <v>131</v>
      </c>
      <c r="APV82" t="s">
        <v>261</v>
      </c>
      <c r="APW82">
        <v>54018</v>
      </c>
      <c r="APX82">
        <v>0</v>
      </c>
      <c r="APY82">
        <v>7076358</v>
      </c>
      <c r="APZ82" t="s">
        <v>262</v>
      </c>
      <c r="AQA82" t="s">
        <v>196</v>
      </c>
      <c r="AQB82">
        <v>53248</v>
      </c>
      <c r="AQC82" t="s">
        <v>260</v>
      </c>
      <c r="AQD82">
        <v>44048</v>
      </c>
      <c r="AQE82">
        <v>44048</v>
      </c>
      <c r="AQF82">
        <v>7076358</v>
      </c>
      <c r="AQG82">
        <v>0</v>
      </c>
      <c r="AQH82" t="s">
        <v>254</v>
      </c>
      <c r="AQI82">
        <v>830037946</v>
      </c>
      <c r="AQJ82" t="s">
        <v>260</v>
      </c>
      <c r="AQK82">
        <v>131</v>
      </c>
      <c r="AQL82" t="s">
        <v>261</v>
      </c>
      <c r="AQM82">
        <v>54018</v>
      </c>
      <c r="AQN82">
        <v>0</v>
      </c>
      <c r="AQO82">
        <v>7076358</v>
      </c>
      <c r="AQP82" t="s">
        <v>262</v>
      </c>
      <c r="AQQ82" t="s">
        <v>196</v>
      </c>
      <c r="AQR82">
        <v>53248</v>
      </c>
      <c r="AQS82" t="s">
        <v>260</v>
      </c>
      <c r="AQT82">
        <v>44048</v>
      </c>
      <c r="AQU82">
        <v>44048</v>
      </c>
      <c r="AQV82">
        <v>7076358</v>
      </c>
      <c r="AQW82">
        <v>0</v>
      </c>
      <c r="AQX82" t="s">
        <v>254</v>
      </c>
      <c r="AQY82">
        <v>830037946</v>
      </c>
      <c r="AQZ82" t="s">
        <v>260</v>
      </c>
      <c r="ARA82">
        <v>131</v>
      </c>
      <c r="ARB82" t="s">
        <v>261</v>
      </c>
      <c r="ARC82">
        <v>54018</v>
      </c>
      <c r="ARD82">
        <v>0</v>
      </c>
      <c r="ARE82">
        <v>7076358</v>
      </c>
      <c r="ARF82" t="s">
        <v>262</v>
      </c>
      <c r="ARG82" t="s">
        <v>196</v>
      </c>
      <c r="ARH82">
        <v>53248</v>
      </c>
      <c r="ARI82" t="s">
        <v>260</v>
      </c>
      <c r="ARJ82">
        <v>44048</v>
      </c>
      <c r="ARK82">
        <v>44048</v>
      </c>
      <c r="ARL82">
        <v>7076358</v>
      </c>
      <c r="ARM82">
        <v>0</v>
      </c>
      <c r="ARN82" t="s">
        <v>254</v>
      </c>
      <c r="ARO82">
        <v>830037946</v>
      </c>
      <c r="ARP82" t="s">
        <v>260</v>
      </c>
      <c r="ARQ82">
        <v>131</v>
      </c>
      <c r="ARR82" t="s">
        <v>261</v>
      </c>
      <c r="ARS82">
        <v>54018</v>
      </c>
      <c r="ART82">
        <v>0</v>
      </c>
      <c r="ARU82">
        <v>7076358</v>
      </c>
      <c r="ARV82" t="s">
        <v>262</v>
      </c>
      <c r="ARW82" t="s">
        <v>196</v>
      </c>
      <c r="ARX82">
        <v>53248</v>
      </c>
      <c r="ARY82" t="s">
        <v>260</v>
      </c>
      <c r="ARZ82">
        <v>44048</v>
      </c>
      <c r="ASA82">
        <v>44048</v>
      </c>
      <c r="ASB82">
        <v>7076358</v>
      </c>
      <c r="ASC82">
        <v>0</v>
      </c>
      <c r="ASD82" t="s">
        <v>254</v>
      </c>
      <c r="ASE82">
        <v>830037946</v>
      </c>
      <c r="ASF82" t="s">
        <v>260</v>
      </c>
      <c r="ASG82">
        <v>131</v>
      </c>
      <c r="ASH82" t="s">
        <v>261</v>
      </c>
      <c r="ASI82">
        <v>54018</v>
      </c>
      <c r="ASJ82">
        <v>0</v>
      </c>
      <c r="ASK82">
        <v>7076358</v>
      </c>
      <c r="ASL82" t="s">
        <v>262</v>
      </c>
      <c r="ASM82" t="s">
        <v>196</v>
      </c>
      <c r="ASN82">
        <v>53248</v>
      </c>
      <c r="ASO82" t="s">
        <v>260</v>
      </c>
      <c r="ASP82">
        <v>44048</v>
      </c>
      <c r="ASQ82">
        <v>44048</v>
      </c>
      <c r="ASR82">
        <v>7076358</v>
      </c>
      <c r="ASS82">
        <v>0</v>
      </c>
      <c r="AST82" t="s">
        <v>254</v>
      </c>
      <c r="ASU82">
        <v>830037946</v>
      </c>
      <c r="ASV82" t="s">
        <v>260</v>
      </c>
      <c r="ASW82">
        <v>131</v>
      </c>
      <c r="ASX82" t="s">
        <v>261</v>
      </c>
      <c r="ASY82">
        <v>54018</v>
      </c>
      <c r="ASZ82">
        <v>0</v>
      </c>
      <c r="ATA82">
        <v>7076358</v>
      </c>
      <c r="ATB82" t="s">
        <v>262</v>
      </c>
      <c r="ATC82" t="s">
        <v>196</v>
      </c>
      <c r="ATD82">
        <v>53248</v>
      </c>
      <c r="ATE82" t="s">
        <v>260</v>
      </c>
      <c r="ATF82">
        <v>44048</v>
      </c>
      <c r="ATG82">
        <v>44048</v>
      </c>
      <c r="ATH82">
        <v>7076358</v>
      </c>
      <c r="ATI82">
        <v>0</v>
      </c>
      <c r="ATJ82" t="s">
        <v>254</v>
      </c>
      <c r="ATK82">
        <v>830037946</v>
      </c>
      <c r="ATL82" t="s">
        <v>260</v>
      </c>
      <c r="ATM82">
        <v>131</v>
      </c>
      <c r="ATN82" t="s">
        <v>261</v>
      </c>
      <c r="ATO82">
        <v>54018</v>
      </c>
      <c r="ATP82">
        <v>0</v>
      </c>
      <c r="ATQ82">
        <v>7076358</v>
      </c>
      <c r="ATR82" t="s">
        <v>262</v>
      </c>
      <c r="ATS82" t="s">
        <v>196</v>
      </c>
      <c r="ATT82">
        <v>53248</v>
      </c>
      <c r="ATU82" t="s">
        <v>260</v>
      </c>
      <c r="ATV82">
        <v>44048</v>
      </c>
      <c r="ATW82">
        <v>44048</v>
      </c>
      <c r="ATX82">
        <v>7076358</v>
      </c>
      <c r="ATY82">
        <v>0</v>
      </c>
      <c r="ATZ82" t="s">
        <v>254</v>
      </c>
      <c r="AUA82">
        <v>830037946</v>
      </c>
      <c r="AUB82" t="s">
        <v>260</v>
      </c>
      <c r="AUC82">
        <v>131</v>
      </c>
      <c r="AUD82" t="s">
        <v>261</v>
      </c>
      <c r="AUE82">
        <v>54018</v>
      </c>
      <c r="AUF82">
        <v>0</v>
      </c>
      <c r="AUG82">
        <v>7076358</v>
      </c>
      <c r="AUH82" t="s">
        <v>262</v>
      </c>
      <c r="AUI82" t="s">
        <v>196</v>
      </c>
      <c r="AUJ82">
        <v>53248</v>
      </c>
      <c r="AUK82" t="s">
        <v>260</v>
      </c>
      <c r="AUL82">
        <v>44048</v>
      </c>
      <c r="AUM82">
        <v>44048</v>
      </c>
      <c r="AUN82">
        <v>7076358</v>
      </c>
      <c r="AUO82">
        <v>0</v>
      </c>
      <c r="AUP82" t="s">
        <v>254</v>
      </c>
      <c r="AUQ82">
        <v>830037946</v>
      </c>
      <c r="AUR82" t="s">
        <v>260</v>
      </c>
      <c r="AUS82">
        <v>131</v>
      </c>
      <c r="AUT82" t="s">
        <v>261</v>
      </c>
      <c r="AUU82">
        <v>54018</v>
      </c>
      <c r="AUV82">
        <v>0</v>
      </c>
      <c r="AUW82">
        <v>7076358</v>
      </c>
      <c r="AUX82" t="s">
        <v>262</v>
      </c>
      <c r="AUY82" t="s">
        <v>196</v>
      </c>
      <c r="AUZ82">
        <v>53248</v>
      </c>
      <c r="AVA82" t="s">
        <v>260</v>
      </c>
      <c r="AVB82">
        <v>44048</v>
      </c>
      <c r="AVC82">
        <v>44048</v>
      </c>
      <c r="AVD82">
        <v>7076358</v>
      </c>
      <c r="AVE82">
        <v>0</v>
      </c>
      <c r="AVF82" t="s">
        <v>254</v>
      </c>
      <c r="AVG82">
        <v>830037946</v>
      </c>
      <c r="AVH82" t="s">
        <v>260</v>
      </c>
      <c r="AVI82">
        <v>131</v>
      </c>
      <c r="AVJ82" t="s">
        <v>261</v>
      </c>
      <c r="AVK82">
        <v>54018</v>
      </c>
      <c r="AVL82">
        <v>0</v>
      </c>
      <c r="AVM82">
        <v>7076358</v>
      </c>
      <c r="AVN82" t="s">
        <v>262</v>
      </c>
      <c r="AVO82" t="s">
        <v>196</v>
      </c>
      <c r="AVP82">
        <v>53248</v>
      </c>
      <c r="AVQ82" t="s">
        <v>260</v>
      </c>
      <c r="AVR82">
        <v>44048</v>
      </c>
      <c r="AVS82">
        <v>44048</v>
      </c>
      <c r="AVT82">
        <v>7076358</v>
      </c>
      <c r="AVU82">
        <v>0</v>
      </c>
      <c r="AVV82" t="s">
        <v>254</v>
      </c>
      <c r="AVW82">
        <v>830037946</v>
      </c>
      <c r="AVX82" t="s">
        <v>260</v>
      </c>
      <c r="AVY82">
        <v>131</v>
      </c>
      <c r="AVZ82" t="s">
        <v>261</v>
      </c>
      <c r="AWA82">
        <v>54018</v>
      </c>
      <c r="AWB82">
        <v>0</v>
      </c>
      <c r="AWC82">
        <v>7076358</v>
      </c>
      <c r="AWD82" t="s">
        <v>262</v>
      </c>
      <c r="AWE82" t="s">
        <v>196</v>
      </c>
      <c r="AWF82">
        <v>53248</v>
      </c>
      <c r="AWG82" t="s">
        <v>260</v>
      </c>
      <c r="AWH82">
        <v>44048</v>
      </c>
      <c r="AWI82">
        <v>44048</v>
      </c>
      <c r="AWJ82">
        <v>7076358</v>
      </c>
      <c r="AWK82">
        <v>0</v>
      </c>
      <c r="AWL82" t="s">
        <v>254</v>
      </c>
      <c r="AWM82">
        <v>830037946</v>
      </c>
      <c r="AWN82" t="s">
        <v>260</v>
      </c>
      <c r="AWO82">
        <v>131</v>
      </c>
      <c r="AWP82" t="s">
        <v>261</v>
      </c>
      <c r="AWQ82">
        <v>54018</v>
      </c>
      <c r="AWR82">
        <v>0</v>
      </c>
      <c r="AWS82">
        <v>7076358</v>
      </c>
      <c r="AWT82" t="s">
        <v>262</v>
      </c>
      <c r="AWU82" t="s">
        <v>196</v>
      </c>
      <c r="AWV82">
        <v>53248</v>
      </c>
      <c r="AWW82" t="s">
        <v>260</v>
      </c>
      <c r="AWX82">
        <v>44048</v>
      </c>
      <c r="AWY82">
        <v>44048</v>
      </c>
      <c r="AWZ82">
        <v>7076358</v>
      </c>
      <c r="AXA82">
        <v>0</v>
      </c>
      <c r="AXB82" t="s">
        <v>254</v>
      </c>
      <c r="AXC82">
        <v>830037946</v>
      </c>
      <c r="AXD82" t="s">
        <v>260</v>
      </c>
      <c r="AXE82">
        <v>131</v>
      </c>
      <c r="AXF82" t="s">
        <v>261</v>
      </c>
      <c r="AXG82">
        <v>54018</v>
      </c>
      <c r="AXH82">
        <v>0</v>
      </c>
      <c r="AXI82">
        <v>7076358</v>
      </c>
      <c r="AXJ82" t="s">
        <v>262</v>
      </c>
      <c r="AXK82" t="s">
        <v>196</v>
      </c>
      <c r="AXL82">
        <v>53248</v>
      </c>
      <c r="AXM82" t="s">
        <v>260</v>
      </c>
      <c r="AXN82">
        <v>44048</v>
      </c>
      <c r="AXO82">
        <v>44048</v>
      </c>
      <c r="AXP82">
        <v>7076358</v>
      </c>
      <c r="AXQ82">
        <v>0</v>
      </c>
      <c r="AXR82" t="s">
        <v>254</v>
      </c>
      <c r="AXS82">
        <v>830037946</v>
      </c>
      <c r="AXT82" t="s">
        <v>260</v>
      </c>
      <c r="AXU82">
        <v>131</v>
      </c>
      <c r="AXV82" t="s">
        <v>261</v>
      </c>
      <c r="AXW82">
        <v>54018</v>
      </c>
      <c r="AXX82">
        <v>0</v>
      </c>
      <c r="AXY82">
        <v>7076358</v>
      </c>
      <c r="AXZ82" t="s">
        <v>262</v>
      </c>
      <c r="AYA82" t="s">
        <v>196</v>
      </c>
      <c r="AYB82">
        <v>53248</v>
      </c>
      <c r="AYC82" t="s">
        <v>260</v>
      </c>
      <c r="AYD82">
        <v>44048</v>
      </c>
      <c r="AYE82">
        <v>44048</v>
      </c>
      <c r="AYF82">
        <v>7076358</v>
      </c>
      <c r="AYG82">
        <v>0</v>
      </c>
      <c r="AYH82" t="s">
        <v>254</v>
      </c>
      <c r="AYI82">
        <v>830037946</v>
      </c>
      <c r="AYJ82" t="s">
        <v>260</v>
      </c>
      <c r="AYK82">
        <v>131</v>
      </c>
      <c r="AYL82" t="s">
        <v>261</v>
      </c>
      <c r="AYM82">
        <v>54018</v>
      </c>
      <c r="AYN82">
        <v>0</v>
      </c>
      <c r="AYO82">
        <v>7076358</v>
      </c>
      <c r="AYP82" t="s">
        <v>262</v>
      </c>
      <c r="AYQ82" t="s">
        <v>196</v>
      </c>
      <c r="AYR82">
        <v>53248</v>
      </c>
      <c r="AYS82" t="s">
        <v>260</v>
      </c>
      <c r="AYT82">
        <v>44048</v>
      </c>
      <c r="AYU82">
        <v>44048</v>
      </c>
      <c r="AYV82">
        <v>7076358</v>
      </c>
      <c r="AYW82">
        <v>0</v>
      </c>
      <c r="AYX82" t="s">
        <v>254</v>
      </c>
      <c r="AYY82">
        <v>830037946</v>
      </c>
      <c r="AYZ82" t="s">
        <v>260</v>
      </c>
      <c r="AZA82">
        <v>131</v>
      </c>
      <c r="AZB82" t="s">
        <v>261</v>
      </c>
      <c r="AZC82">
        <v>54018</v>
      </c>
      <c r="AZD82">
        <v>0</v>
      </c>
      <c r="AZE82">
        <v>7076358</v>
      </c>
      <c r="AZF82" t="s">
        <v>262</v>
      </c>
      <c r="AZG82" t="s">
        <v>196</v>
      </c>
      <c r="AZH82">
        <v>53248</v>
      </c>
      <c r="AZI82" t="s">
        <v>260</v>
      </c>
      <c r="AZJ82">
        <v>44048</v>
      </c>
      <c r="AZK82">
        <v>44048</v>
      </c>
      <c r="AZL82">
        <v>7076358</v>
      </c>
      <c r="AZM82">
        <v>0</v>
      </c>
      <c r="AZN82" t="s">
        <v>254</v>
      </c>
      <c r="AZO82">
        <v>830037946</v>
      </c>
      <c r="AZP82" t="s">
        <v>260</v>
      </c>
      <c r="AZQ82">
        <v>131</v>
      </c>
      <c r="AZR82" t="s">
        <v>261</v>
      </c>
      <c r="AZS82">
        <v>54018</v>
      </c>
      <c r="AZT82">
        <v>0</v>
      </c>
      <c r="AZU82">
        <v>7076358</v>
      </c>
      <c r="AZV82" t="s">
        <v>262</v>
      </c>
      <c r="AZW82" t="s">
        <v>196</v>
      </c>
      <c r="AZX82">
        <v>53248</v>
      </c>
      <c r="AZY82" t="s">
        <v>260</v>
      </c>
      <c r="AZZ82">
        <v>44048</v>
      </c>
      <c r="BAA82">
        <v>44048</v>
      </c>
      <c r="BAB82">
        <v>7076358</v>
      </c>
      <c r="BAC82">
        <v>0</v>
      </c>
      <c r="BAD82" t="s">
        <v>254</v>
      </c>
      <c r="BAE82">
        <v>830037946</v>
      </c>
      <c r="BAF82" t="s">
        <v>260</v>
      </c>
      <c r="BAG82">
        <v>131</v>
      </c>
      <c r="BAH82" t="s">
        <v>261</v>
      </c>
      <c r="BAI82">
        <v>54018</v>
      </c>
      <c r="BAJ82">
        <v>0</v>
      </c>
      <c r="BAK82">
        <v>7076358</v>
      </c>
      <c r="BAL82" t="s">
        <v>262</v>
      </c>
      <c r="BAM82" t="s">
        <v>196</v>
      </c>
      <c r="BAN82">
        <v>53248</v>
      </c>
      <c r="BAO82" t="s">
        <v>260</v>
      </c>
      <c r="BAP82">
        <v>44048</v>
      </c>
      <c r="BAQ82">
        <v>44048</v>
      </c>
      <c r="BAR82">
        <v>7076358</v>
      </c>
      <c r="BAS82">
        <v>0</v>
      </c>
      <c r="BAT82" t="s">
        <v>254</v>
      </c>
      <c r="BAU82">
        <v>830037946</v>
      </c>
      <c r="BAV82" t="s">
        <v>260</v>
      </c>
      <c r="BAW82">
        <v>131</v>
      </c>
      <c r="BAX82" t="s">
        <v>261</v>
      </c>
      <c r="BAY82">
        <v>54018</v>
      </c>
      <c r="BAZ82">
        <v>0</v>
      </c>
      <c r="BBA82">
        <v>7076358</v>
      </c>
      <c r="BBB82" t="s">
        <v>262</v>
      </c>
      <c r="BBC82" t="s">
        <v>196</v>
      </c>
      <c r="BBD82">
        <v>53248</v>
      </c>
      <c r="BBE82" t="s">
        <v>260</v>
      </c>
      <c r="BBF82">
        <v>44048</v>
      </c>
      <c r="BBG82">
        <v>44048</v>
      </c>
      <c r="BBH82">
        <v>7076358</v>
      </c>
      <c r="BBI82">
        <v>0</v>
      </c>
      <c r="BBJ82" t="s">
        <v>254</v>
      </c>
      <c r="BBK82">
        <v>830037946</v>
      </c>
      <c r="BBL82" t="s">
        <v>260</v>
      </c>
      <c r="BBM82">
        <v>131</v>
      </c>
      <c r="BBN82" t="s">
        <v>261</v>
      </c>
      <c r="BBO82">
        <v>54018</v>
      </c>
      <c r="BBP82">
        <v>0</v>
      </c>
      <c r="BBQ82">
        <v>7076358</v>
      </c>
      <c r="BBR82" t="s">
        <v>262</v>
      </c>
      <c r="BBS82" t="s">
        <v>196</v>
      </c>
      <c r="BBT82">
        <v>53248</v>
      </c>
      <c r="BBU82" t="s">
        <v>260</v>
      </c>
      <c r="BBV82">
        <v>44048</v>
      </c>
      <c r="BBW82">
        <v>44048</v>
      </c>
      <c r="BBX82">
        <v>7076358</v>
      </c>
      <c r="BBY82">
        <v>0</v>
      </c>
      <c r="BBZ82" t="s">
        <v>254</v>
      </c>
      <c r="BCA82">
        <v>830037946</v>
      </c>
      <c r="BCB82" t="s">
        <v>260</v>
      </c>
      <c r="BCC82">
        <v>131</v>
      </c>
      <c r="BCD82" t="s">
        <v>261</v>
      </c>
      <c r="BCE82">
        <v>54018</v>
      </c>
      <c r="BCF82">
        <v>0</v>
      </c>
      <c r="BCG82">
        <v>7076358</v>
      </c>
      <c r="BCH82" t="s">
        <v>262</v>
      </c>
      <c r="BCI82" t="s">
        <v>196</v>
      </c>
      <c r="BCJ82">
        <v>53248</v>
      </c>
      <c r="BCK82" t="s">
        <v>260</v>
      </c>
      <c r="BCL82">
        <v>44048</v>
      </c>
      <c r="BCM82">
        <v>44048</v>
      </c>
      <c r="BCN82">
        <v>7076358</v>
      </c>
      <c r="BCO82">
        <v>0</v>
      </c>
      <c r="BCP82" t="s">
        <v>254</v>
      </c>
      <c r="BCQ82">
        <v>830037946</v>
      </c>
      <c r="BCR82" t="s">
        <v>260</v>
      </c>
      <c r="DGF82">
        <v>0</v>
      </c>
      <c r="DGG82">
        <v>7076358</v>
      </c>
      <c r="DGH82" t="s">
        <v>262</v>
      </c>
      <c r="DGI82" t="s">
        <v>196</v>
      </c>
      <c r="DGJ82">
        <v>53248</v>
      </c>
      <c r="DGK82" t="s">
        <v>260</v>
      </c>
      <c r="DGL82">
        <v>44048</v>
      </c>
      <c r="DGM82">
        <v>44048</v>
      </c>
      <c r="DGN82">
        <v>7076358</v>
      </c>
      <c r="DGO82">
        <v>0</v>
      </c>
      <c r="DGP82" t="s">
        <v>254</v>
      </c>
      <c r="DGQ82">
        <v>830037946</v>
      </c>
      <c r="DGR82" t="s">
        <v>260</v>
      </c>
      <c r="DGS82">
        <v>131</v>
      </c>
      <c r="DGT82" t="s">
        <v>261</v>
      </c>
      <c r="DGU82">
        <v>54018</v>
      </c>
      <c r="DGV82">
        <v>0</v>
      </c>
      <c r="DGW82">
        <v>7076358</v>
      </c>
      <c r="DGX82" t="s">
        <v>262</v>
      </c>
      <c r="DGY82" t="s">
        <v>196</v>
      </c>
      <c r="DGZ82">
        <v>53248</v>
      </c>
      <c r="DHA82" t="s">
        <v>260</v>
      </c>
      <c r="DHB82">
        <v>44048</v>
      </c>
      <c r="DHC82">
        <v>44048</v>
      </c>
      <c r="DHD82">
        <v>7076358</v>
      </c>
      <c r="DHE82">
        <v>0</v>
      </c>
      <c r="DHF82" t="s">
        <v>254</v>
      </c>
      <c r="DHG82">
        <v>830037946</v>
      </c>
      <c r="DHH82" t="s">
        <v>260</v>
      </c>
      <c r="DHI82">
        <v>131</v>
      </c>
      <c r="DHJ82" t="s">
        <v>261</v>
      </c>
      <c r="DHK82">
        <v>54018</v>
      </c>
      <c r="DHL82">
        <v>0</v>
      </c>
      <c r="DHM82">
        <v>7076358</v>
      </c>
      <c r="DHN82" t="s">
        <v>262</v>
      </c>
      <c r="DHO82" t="s">
        <v>196</v>
      </c>
      <c r="DHP82">
        <v>53248</v>
      </c>
      <c r="DHQ82" t="s">
        <v>260</v>
      </c>
      <c r="DHR82">
        <v>44048</v>
      </c>
      <c r="DHS82">
        <v>44048</v>
      </c>
      <c r="DHT82">
        <v>7076358</v>
      </c>
      <c r="DHU82">
        <v>0</v>
      </c>
      <c r="DHV82" t="s">
        <v>254</v>
      </c>
      <c r="DHW82">
        <v>830037946</v>
      </c>
      <c r="DHX82" t="s">
        <v>260</v>
      </c>
      <c r="DHY82">
        <v>131</v>
      </c>
      <c r="DHZ82" t="s">
        <v>261</v>
      </c>
      <c r="DIA82">
        <v>54018</v>
      </c>
      <c r="DIB82">
        <v>0</v>
      </c>
      <c r="DIC82">
        <v>7076358</v>
      </c>
      <c r="DID82" t="s">
        <v>262</v>
      </c>
      <c r="DIE82" t="s">
        <v>196</v>
      </c>
      <c r="DIF82">
        <v>53248</v>
      </c>
      <c r="DIG82" t="s">
        <v>260</v>
      </c>
      <c r="DIH82">
        <v>44048</v>
      </c>
      <c r="DII82">
        <v>44048</v>
      </c>
      <c r="DIJ82">
        <v>7076358</v>
      </c>
      <c r="DIK82">
        <v>0</v>
      </c>
      <c r="DIL82" t="s">
        <v>254</v>
      </c>
      <c r="DIM82">
        <v>830037946</v>
      </c>
      <c r="DIN82" t="s">
        <v>260</v>
      </c>
      <c r="DIO82">
        <v>131</v>
      </c>
      <c r="DIP82" t="s">
        <v>261</v>
      </c>
      <c r="DIQ82">
        <v>54018</v>
      </c>
      <c r="DIR82">
        <v>0</v>
      </c>
      <c r="DIS82">
        <v>7076358</v>
      </c>
      <c r="DIT82" t="s">
        <v>262</v>
      </c>
      <c r="DIU82" t="s">
        <v>196</v>
      </c>
      <c r="DIV82">
        <v>53248</v>
      </c>
      <c r="DIW82" t="s">
        <v>260</v>
      </c>
      <c r="DIX82">
        <v>44048</v>
      </c>
      <c r="DIY82">
        <v>44048</v>
      </c>
      <c r="DIZ82">
        <v>7076358</v>
      </c>
      <c r="DJA82">
        <v>0</v>
      </c>
      <c r="DJB82" t="s">
        <v>254</v>
      </c>
      <c r="DJC82">
        <v>830037946</v>
      </c>
      <c r="DJD82" t="s">
        <v>260</v>
      </c>
      <c r="DJE82">
        <v>131</v>
      </c>
      <c r="DJF82" t="s">
        <v>261</v>
      </c>
      <c r="DJG82">
        <v>54018</v>
      </c>
      <c r="DJH82">
        <v>0</v>
      </c>
      <c r="DJI82">
        <v>7076358</v>
      </c>
      <c r="DJJ82" t="s">
        <v>262</v>
      </c>
      <c r="DJK82" t="s">
        <v>196</v>
      </c>
      <c r="DJL82">
        <v>53248</v>
      </c>
      <c r="DJM82" t="s">
        <v>260</v>
      </c>
      <c r="DJN82">
        <v>44048</v>
      </c>
      <c r="DJO82">
        <v>44048</v>
      </c>
      <c r="DJP82">
        <v>7076358</v>
      </c>
      <c r="DJQ82">
        <v>0</v>
      </c>
      <c r="DJR82" t="s">
        <v>254</v>
      </c>
      <c r="DJS82">
        <v>830037946</v>
      </c>
      <c r="DJT82" t="s">
        <v>260</v>
      </c>
      <c r="DJU82">
        <v>131</v>
      </c>
      <c r="DJV82" t="s">
        <v>261</v>
      </c>
      <c r="DJW82">
        <v>54018</v>
      </c>
      <c r="DJX82">
        <v>0</v>
      </c>
      <c r="DJY82">
        <v>7076358</v>
      </c>
      <c r="DJZ82" t="s">
        <v>262</v>
      </c>
      <c r="DKA82" t="s">
        <v>196</v>
      </c>
      <c r="DKB82">
        <v>53248</v>
      </c>
      <c r="DKC82" t="s">
        <v>260</v>
      </c>
      <c r="DKD82">
        <v>44048</v>
      </c>
      <c r="DKE82">
        <v>44048</v>
      </c>
      <c r="DKF82">
        <v>7076358</v>
      </c>
      <c r="DKG82">
        <v>0</v>
      </c>
      <c r="DKH82" t="s">
        <v>254</v>
      </c>
      <c r="DKI82">
        <v>830037946</v>
      </c>
      <c r="DKJ82" t="s">
        <v>260</v>
      </c>
      <c r="DKK82">
        <v>131</v>
      </c>
      <c r="DKL82" t="s">
        <v>261</v>
      </c>
      <c r="DKM82">
        <v>54018</v>
      </c>
      <c r="DKN82">
        <v>0</v>
      </c>
      <c r="DKO82">
        <v>7076358</v>
      </c>
      <c r="DKP82" t="s">
        <v>262</v>
      </c>
      <c r="DKQ82" t="s">
        <v>196</v>
      </c>
      <c r="DKR82">
        <v>53248</v>
      </c>
      <c r="DKS82" t="s">
        <v>260</v>
      </c>
      <c r="DKT82">
        <v>44048</v>
      </c>
      <c r="DKU82">
        <v>44048</v>
      </c>
      <c r="DKV82">
        <v>7076358</v>
      </c>
      <c r="DKW82">
        <v>0</v>
      </c>
      <c r="DKX82" t="s">
        <v>254</v>
      </c>
      <c r="DKY82">
        <v>830037946</v>
      </c>
      <c r="DKZ82" t="s">
        <v>260</v>
      </c>
      <c r="DLA82">
        <v>131</v>
      </c>
      <c r="DLB82" t="s">
        <v>261</v>
      </c>
      <c r="DLC82">
        <v>54018</v>
      </c>
      <c r="DLD82">
        <v>0</v>
      </c>
      <c r="DLE82">
        <v>7076358</v>
      </c>
      <c r="DLF82" t="s">
        <v>262</v>
      </c>
      <c r="DLG82" t="s">
        <v>196</v>
      </c>
      <c r="DLH82">
        <v>53248</v>
      </c>
      <c r="DLI82" t="s">
        <v>260</v>
      </c>
      <c r="DLJ82">
        <v>44048</v>
      </c>
      <c r="DLK82">
        <v>44048</v>
      </c>
      <c r="DLL82">
        <v>7076358</v>
      </c>
      <c r="DLM82">
        <v>0</v>
      </c>
      <c r="DLN82" t="s">
        <v>254</v>
      </c>
      <c r="DLO82">
        <v>830037946</v>
      </c>
      <c r="DLP82" t="s">
        <v>260</v>
      </c>
      <c r="DLQ82">
        <v>131</v>
      </c>
      <c r="DLR82" t="s">
        <v>261</v>
      </c>
      <c r="DLS82">
        <v>54018</v>
      </c>
      <c r="DLT82">
        <v>0</v>
      </c>
      <c r="DLU82">
        <v>7076358</v>
      </c>
      <c r="DLV82" t="s">
        <v>262</v>
      </c>
      <c r="DLW82" t="s">
        <v>196</v>
      </c>
      <c r="DLX82">
        <v>53248</v>
      </c>
      <c r="DLY82" t="s">
        <v>260</v>
      </c>
      <c r="DLZ82">
        <v>44048</v>
      </c>
      <c r="DMA82">
        <v>44048</v>
      </c>
      <c r="DMB82">
        <v>7076358</v>
      </c>
      <c r="DMC82">
        <v>0</v>
      </c>
      <c r="DMD82" t="s">
        <v>254</v>
      </c>
      <c r="DME82">
        <v>830037946</v>
      </c>
      <c r="DMF82" t="s">
        <v>260</v>
      </c>
      <c r="DMG82">
        <v>131</v>
      </c>
      <c r="DMH82" t="s">
        <v>261</v>
      </c>
      <c r="DMI82">
        <v>54018</v>
      </c>
      <c r="DMJ82">
        <v>0</v>
      </c>
      <c r="DMK82">
        <v>7076358</v>
      </c>
      <c r="DML82" t="s">
        <v>262</v>
      </c>
      <c r="DMM82" t="s">
        <v>196</v>
      </c>
      <c r="DMN82">
        <v>53248</v>
      </c>
      <c r="DMO82" t="s">
        <v>260</v>
      </c>
      <c r="DMP82">
        <v>44048</v>
      </c>
      <c r="DMQ82">
        <v>44048</v>
      </c>
      <c r="DMR82">
        <v>7076358</v>
      </c>
      <c r="DMS82">
        <v>0</v>
      </c>
      <c r="DMT82" t="s">
        <v>254</v>
      </c>
      <c r="DMU82">
        <v>830037946</v>
      </c>
      <c r="DMV82" t="s">
        <v>260</v>
      </c>
      <c r="DMW82">
        <v>131</v>
      </c>
      <c r="DMX82" t="s">
        <v>261</v>
      </c>
      <c r="DMY82">
        <v>54018</v>
      </c>
      <c r="DMZ82">
        <v>0</v>
      </c>
      <c r="DNA82">
        <v>7076358</v>
      </c>
      <c r="DNB82" t="s">
        <v>262</v>
      </c>
      <c r="DNC82" t="s">
        <v>196</v>
      </c>
      <c r="DND82">
        <v>53248</v>
      </c>
      <c r="DNE82" t="s">
        <v>260</v>
      </c>
      <c r="DNF82">
        <v>44048</v>
      </c>
      <c r="DNG82">
        <v>44048</v>
      </c>
      <c r="DNH82">
        <v>7076358</v>
      </c>
      <c r="DNI82">
        <v>0</v>
      </c>
      <c r="DNJ82" t="s">
        <v>254</v>
      </c>
      <c r="DNK82">
        <v>830037946</v>
      </c>
      <c r="DNL82" t="s">
        <v>260</v>
      </c>
      <c r="DNM82">
        <v>131</v>
      </c>
      <c r="DNN82" t="s">
        <v>261</v>
      </c>
      <c r="DNO82">
        <v>54018</v>
      </c>
      <c r="DNP82">
        <v>0</v>
      </c>
      <c r="DNQ82">
        <v>7076358</v>
      </c>
      <c r="DNR82" t="s">
        <v>262</v>
      </c>
      <c r="DNS82" t="s">
        <v>196</v>
      </c>
      <c r="DNT82">
        <v>53248</v>
      </c>
      <c r="DNU82" t="s">
        <v>260</v>
      </c>
      <c r="DNV82">
        <v>44048</v>
      </c>
      <c r="DNW82">
        <v>44048</v>
      </c>
      <c r="DNX82">
        <v>7076358</v>
      </c>
      <c r="DNY82">
        <v>0</v>
      </c>
      <c r="DNZ82" t="s">
        <v>254</v>
      </c>
      <c r="DOA82">
        <v>830037946</v>
      </c>
      <c r="DOB82" t="s">
        <v>260</v>
      </c>
      <c r="DOC82">
        <v>131</v>
      </c>
      <c r="DOD82" t="s">
        <v>261</v>
      </c>
      <c r="DOE82">
        <v>54018</v>
      </c>
      <c r="DOF82">
        <v>0</v>
      </c>
      <c r="DOG82">
        <v>7076358</v>
      </c>
      <c r="DOH82" t="s">
        <v>262</v>
      </c>
      <c r="DOI82" t="s">
        <v>196</v>
      </c>
      <c r="DOJ82">
        <v>53248</v>
      </c>
      <c r="DOK82" t="s">
        <v>260</v>
      </c>
      <c r="DOL82">
        <v>44048</v>
      </c>
      <c r="DOM82">
        <v>44048</v>
      </c>
      <c r="DON82">
        <v>7076358</v>
      </c>
      <c r="DOO82">
        <v>0</v>
      </c>
      <c r="DOP82" t="s">
        <v>254</v>
      </c>
      <c r="DOQ82">
        <v>830037946</v>
      </c>
      <c r="DOR82" t="s">
        <v>260</v>
      </c>
      <c r="DOS82">
        <v>131</v>
      </c>
      <c r="DOT82" t="s">
        <v>261</v>
      </c>
      <c r="DOU82">
        <v>54018</v>
      </c>
      <c r="DOV82">
        <v>0</v>
      </c>
      <c r="DOW82">
        <v>7076358</v>
      </c>
      <c r="DOX82" t="s">
        <v>262</v>
      </c>
      <c r="DOY82" t="s">
        <v>196</v>
      </c>
      <c r="DOZ82">
        <v>53248</v>
      </c>
      <c r="DPA82" t="s">
        <v>260</v>
      </c>
      <c r="DPB82">
        <v>44048</v>
      </c>
      <c r="DPC82">
        <v>44048</v>
      </c>
      <c r="DPD82">
        <v>7076358</v>
      </c>
      <c r="DPE82">
        <v>0</v>
      </c>
      <c r="DPF82" t="s">
        <v>254</v>
      </c>
      <c r="DPG82">
        <v>830037946</v>
      </c>
      <c r="DPH82" t="s">
        <v>260</v>
      </c>
      <c r="DPI82">
        <v>131</v>
      </c>
      <c r="DPJ82" t="s">
        <v>261</v>
      </c>
      <c r="DPK82">
        <v>54018</v>
      </c>
      <c r="DPL82">
        <v>0</v>
      </c>
      <c r="DPM82">
        <v>7076358</v>
      </c>
      <c r="DPN82" t="s">
        <v>262</v>
      </c>
      <c r="DPO82" t="s">
        <v>196</v>
      </c>
      <c r="DPP82">
        <v>53248</v>
      </c>
      <c r="DPQ82" t="s">
        <v>260</v>
      </c>
      <c r="DPR82">
        <v>44048</v>
      </c>
      <c r="DPS82">
        <v>44048</v>
      </c>
      <c r="DPT82">
        <v>7076358</v>
      </c>
      <c r="DPU82">
        <v>0</v>
      </c>
      <c r="DPV82" t="s">
        <v>254</v>
      </c>
      <c r="DPW82">
        <v>830037946</v>
      </c>
      <c r="DPX82" t="s">
        <v>260</v>
      </c>
      <c r="DPY82">
        <v>131</v>
      </c>
      <c r="DPZ82" t="s">
        <v>261</v>
      </c>
      <c r="DQA82">
        <v>54018</v>
      </c>
      <c r="DQB82">
        <v>0</v>
      </c>
      <c r="DQC82">
        <v>7076358</v>
      </c>
      <c r="DQD82" t="s">
        <v>262</v>
      </c>
      <c r="DQE82" t="s">
        <v>196</v>
      </c>
      <c r="DQF82">
        <v>53248</v>
      </c>
      <c r="DQG82" t="s">
        <v>260</v>
      </c>
      <c r="DQH82">
        <v>44048</v>
      </c>
      <c r="DQI82">
        <v>44048</v>
      </c>
      <c r="DQJ82">
        <v>7076358</v>
      </c>
      <c r="DQK82">
        <v>0</v>
      </c>
      <c r="DQL82" t="s">
        <v>254</v>
      </c>
      <c r="DQM82">
        <v>830037946</v>
      </c>
      <c r="DQN82" t="s">
        <v>260</v>
      </c>
      <c r="DQO82">
        <v>131</v>
      </c>
      <c r="DQP82" t="s">
        <v>261</v>
      </c>
      <c r="DQQ82">
        <v>54018</v>
      </c>
      <c r="DQR82">
        <v>0</v>
      </c>
      <c r="DQS82">
        <v>7076358</v>
      </c>
      <c r="DQT82" t="s">
        <v>262</v>
      </c>
      <c r="DQU82" t="s">
        <v>196</v>
      </c>
      <c r="DQV82">
        <v>53248</v>
      </c>
      <c r="DQW82" t="s">
        <v>260</v>
      </c>
      <c r="DQX82">
        <v>44048</v>
      </c>
      <c r="DQY82">
        <v>44048</v>
      </c>
      <c r="DQZ82">
        <v>7076358</v>
      </c>
      <c r="DRA82">
        <v>0</v>
      </c>
      <c r="DRB82" t="s">
        <v>254</v>
      </c>
      <c r="DRC82">
        <v>830037946</v>
      </c>
      <c r="DRD82" t="s">
        <v>260</v>
      </c>
      <c r="DRE82">
        <v>131</v>
      </c>
      <c r="DRF82" t="s">
        <v>261</v>
      </c>
      <c r="DRG82">
        <v>54018</v>
      </c>
      <c r="DRH82">
        <v>0</v>
      </c>
      <c r="DRI82">
        <v>7076358</v>
      </c>
      <c r="DRJ82" t="s">
        <v>262</v>
      </c>
      <c r="DRK82" t="s">
        <v>196</v>
      </c>
      <c r="DRL82">
        <v>53248</v>
      </c>
      <c r="DRM82" t="s">
        <v>260</v>
      </c>
      <c r="DRN82">
        <v>44048</v>
      </c>
      <c r="DRO82">
        <v>44048</v>
      </c>
      <c r="DRP82">
        <v>7076358</v>
      </c>
      <c r="DRQ82">
        <v>0</v>
      </c>
      <c r="DRR82" t="s">
        <v>254</v>
      </c>
      <c r="DRS82">
        <v>830037946</v>
      </c>
      <c r="DRT82" t="s">
        <v>260</v>
      </c>
      <c r="DRU82">
        <v>131</v>
      </c>
      <c r="DRV82" t="s">
        <v>261</v>
      </c>
      <c r="DRW82">
        <v>54018</v>
      </c>
      <c r="DRX82">
        <v>0</v>
      </c>
      <c r="DRY82">
        <v>7076358</v>
      </c>
      <c r="DRZ82" t="s">
        <v>262</v>
      </c>
      <c r="DSA82" t="s">
        <v>196</v>
      </c>
      <c r="DSB82">
        <v>53248</v>
      </c>
      <c r="DSC82" t="s">
        <v>260</v>
      </c>
      <c r="DSD82">
        <v>44048</v>
      </c>
      <c r="DSE82">
        <v>44048</v>
      </c>
      <c r="DSF82">
        <v>7076358</v>
      </c>
      <c r="DSG82">
        <v>0</v>
      </c>
      <c r="DSH82" t="s">
        <v>254</v>
      </c>
      <c r="DSI82">
        <v>830037946</v>
      </c>
      <c r="DSJ82" t="s">
        <v>260</v>
      </c>
      <c r="DSK82">
        <v>131</v>
      </c>
      <c r="DSL82" t="s">
        <v>261</v>
      </c>
      <c r="DSM82">
        <v>54018</v>
      </c>
      <c r="DSN82">
        <v>0</v>
      </c>
      <c r="DSO82">
        <v>7076358</v>
      </c>
      <c r="DSP82" t="s">
        <v>262</v>
      </c>
      <c r="DSQ82" t="s">
        <v>196</v>
      </c>
      <c r="DSR82">
        <v>53248</v>
      </c>
      <c r="DSS82" t="s">
        <v>260</v>
      </c>
      <c r="DST82">
        <v>44048</v>
      </c>
      <c r="DSU82">
        <v>44048</v>
      </c>
      <c r="DSV82">
        <v>7076358</v>
      </c>
      <c r="DSW82">
        <v>0</v>
      </c>
      <c r="DSX82" t="s">
        <v>254</v>
      </c>
      <c r="DSY82">
        <v>830037946</v>
      </c>
      <c r="DSZ82" t="s">
        <v>260</v>
      </c>
      <c r="DTA82">
        <v>131</v>
      </c>
      <c r="DTB82" t="s">
        <v>261</v>
      </c>
      <c r="DTC82">
        <v>54018</v>
      </c>
      <c r="DTD82">
        <v>0</v>
      </c>
      <c r="DTE82">
        <v>7076358</v>
      </c>
      <c r="DTF82" t="s">
        <v>262</v>
      </c>
      <c r="DTG82" t="s">
        <v>196</v>
      </c>
      <c r="DTH82">
        <v>53248</v>
      </c>
      <c r="DTI82" t="s">
        <v>260</v>
      </c>
      <c r="DTJ82">
        <v>44048</v>
      </c>
      <c r="DTK82">
        <v>44048</v>
      </c>
      <c r="DTL82">
        <v>7076358</v>
      </c>
      <c r="DTM82">
        <v>0</v>
      </c>
      <c r="DTN82" t="s">
        <v>254</v>
      </c>
      <c r="DTO82">
        <v>830037946</v>
      </c>
      <c r="DTP82" t="s">
        <v>260</v>
      </c>
      <c r="DTQ82">
        <v>131</v>
      </c>
      <c r="DTR82" t="s">
        <v>261</v>
      </c>
      <c r="DTS82">
        <v>54018</v>
      </c>
      <c r="DTT82">
        <v>0</v>
      </c>
      <c r="DTU82">
        <v>7076358</v>
      </c>
      <c r="DTV82" t="s">
        <v>262</v>
      </c>
      <c r="DTW82" t="s">
        <v>196</v>
      </c>
      <c r="DTX82">
        <v>53248</v>
      </c>
      <c r="DTY82" t="s">
        <v>260</v>
      </c>
      <c r="DTZ82">
        <v>44048</v>
      </c>
      <c r="DUA82">
        <v>44048</v>
      </c>
      <c r="DUB82">
        <v>7076358</v>
      </c>
      <c r="DUC82">
        <v>0</v>
      </c>
      <c r="DUD82" t="s">
        <v>254</v>
      </c>
      <c r="DUE82">
        <v>830037946</v>
      </c>
      <c r="DUF82" t="s">
        <v>260</v>
      </c>
      <c r="DUG82">
        <v>131</v>
      </c>
      <c r="DUH82" t="s">
        <v>261</v>
      </c>
      <c r="DUI82">
        <v>54018</v>
      </c>
      <c r="DUJ82">
        <v>0</v>
      </c>
      <c r="DUK82">
        <v>7076358</v>
      </c>
      <c r="DUL82" t="s">
        <v>262</v>
      </c>
      <c r="DUM82" t="s">
        <v>196</v>
      </c>
      <c r="DUN82">
        <v>53248</v>
      </c>
      <c r="DUO82" t="s">
        <v>260</v>
      </c>
      <c r="DUP82">
        <v>44048</v>
      </c>
      <c r="DUQ82">
        <v>44048</v>
      </c>
      <c r="DUR82">
        <v>7076358</v>
      </c>
      <c r="DUS82">
        <v>0</v>
      </c>
      <c r="DUT82" t="s">
        <v>254</v>
      </c>
      <c r="DUU82">
        <v>830037946</v>
      </c>
      <c r="DUV82" t="s">
        <v>260</v>
      </c>
      <c r="DUW82">
        <v>131</v>
      </c>
      <c r="DUX82" t="s">
        <v>261</v>
      </c>
      <c r="DUY82">
        <v>54018</v>
      </c>
      <c r="DUZ82">
        <v>0</v>
      </c>
      <c r="DVA82">
        <v>7076358</v>
      </c>
      <c r="DVB82" t="s">
        <v>262</v>
      </c>
      <c r="DVC82" t="s">
        <v>196</v>
      </c>
      <c r="DVD82">
        <v>53248</v>
      </c>
      <c r="DVE82" t="s">
        <v>260</v>
      </c>
      <c r="DVF82">
        <v>44048</v>
      </c>
      <c r="DVG82">
        <v>44048</v>
      </c>
      <c r="DVH82">
        <v>7076358</v>
      </c>
      <c r="DVI82">
        <v>0</v>
      </c>
      <c r="DVJ82" t="s">
        <v>254</v>
      </c>
      <c r="DVK82">
        <v>830037946</v>
      </c>
      <c r="DVL82" t="s">
        <v>260</v>
      </c>
      <c r="DVM82">
        <v>131</v>
      </c>
      <c r="DVN82" t="s">
        <v>261</v>
      </c>
      <c r="DVO82">
        <v>54018</v>
      </c>
      <c r="DVP82">
        <v>0</v>
      </c>
      <c r="DVQ82">
        <v>7076358</v>
      </c>
      <c r="DVR82" t="s">
        <v>262</v>
      </c>
      <c r="DVS82" t="s">
        <v>196</v>
      </c>
      <c r="DVT82">
        <v>53248</v>
      </c>
      <c r="DVU82" t="s">
        <v>260</v>
      </c>
      <c r="DVV82">
        <v>44048</v>
      </c>
      <c r="DVW82">
        <v>44048</v>
      </c>
      <c r="DVX82">
        <v>7076358</v>
      </c>
      <c r="DVY82">
        <v>0</v>
      </c>
      <c r="DVZ82" t="s">
        <v>254</v>
      </c>
      <c r="DWA82">
        <v>830037946</v>
      </c>
      <c r="DWB82" t="s">
        <v>260</v>
      </c>
      <c r="DWC82">
        <v>131</v>
      </c>
      <c r="DWD82" t="s">
        <v>261</v>
      </c>
      <c r="DWE82">
        <v>54018</v>
      </c>
      <c r="DWF82">
        <v>0</v>
      </c>
      <c r="DWG82">
        <v>7076358</v>
      </c>
      <c r="DWH82" t="s">
        <v>262</v>
      </c>
      <c r="DWI82" t="s">
        <v>196</v>
      </c>
      <c r="DWJ82">
        <v>53248</v>
      </c>
      <c r="DWK82" t="s">
        <v>260</v>
      </c>
      <c r="DWL82">
        <v>44048</v>
      </c>
      <c r="DWM82">
        <v>44048</v>
      </c>
      <c r="DWN82">
        <v>7076358</v>
      </c>
      <c r="DWO82">
        <v>0</v>
      </c>
      <c r="DWP82" t="s">
        <v>254</v>
      </c>
      <c r="DWQ82">
        <v>830037946</v>
      </c>
      <c r="DWR82" t="s">
        <v>260</v>
      </c>
      <c r="DWS82">
        <v>131</v>
      </c>
      <c r="DWT82" t="s">
        <v>261</v>
      </c>
      <c r="DWU82">
        <v>54018</v>
      </c>
      <c r="DWV82">
        <v>0</v>
      </c>
      <c r="DWW82">
        <v>7076358</v>
      </c>
      <c r="DWX82" t="s">
        <v>262</v>
      </c>
      <c r="DWY82" t="s">
        <v>196</v>
      </c>
      <c r="DWZ82">
        <v>53248</v>
      </c>
      <c r="DXA82" t="s">
        <v>260</v>
      </c>
      <c r="DXB82">
        <v>44048</v>
      </c>
      <c r="DXC82">
        <v>44048</v>
      </c>
      <c r="DXD82">
        <v>7076358</v>
      </c>
      <c r="DXE82">
        <v>0</v>
      </c>
      <c r="DXF82" t="s">
        <v>254</v>
      </c>
      <c r="DXG82">
        <v>830037946</v>
      </c>
      <c r="DXH82" t="s">
        <v>260</v>
      </c>
      <c r="DXI82">
        <v>131</v>
      </c>
      <c r="DXJ82" t="s">
        <v>261</v>
      </c>
      <c r="DXK82">
        <v>54018</v>
      </c>
      <c r="DXL82">
        <v>0</v>
      </c>
      <c r="DXM82">
        <v>7076358</v>
      </c>
      <c r="DXN82" t="s">
        <v>262</v>
      </c>
      <c r="DXO82" t="s">
        <v>196</v>
      </c>
      <c r="DXP82">
        <v>53248</v>
      </c>
      <c r="DXQ82" t="s">
        <v>260</v>
      </c>
      <c r="DXR82">
        <v>44048</v>
      </c>
      <c r="DXS82">
        <v>44048</v>
      </c>
      <c r="DXT82">
        <v>7076358</v>
      </c>
      <c r="DXU82">
        <v>0</v>
      </c>
      <c r="DXV82" t="s">
        <v>254</v>
      </c>
      <c r="DXW82">
        <v>830037946</v>
      </c>
      <c r="DXX82" t="s">
        <v>260</v>
      </c>
      <c r="DXY82">
        <v>131</v>
      </c>
      <c r="DXZ82" t="s">
        <v>261</v>
      </c>
      <c r="DYA82">
        <v>54018</v>
      </c>
      <c r="DYB82">
        <v>0</v>
      </c>
      <c r="DYC82">
        <v>7076358</v>
      </c>
      <c r="DYD82" t="s">
        <v>262</v>
      </c>
      <c r="DYE82" t="s">
        <v>196</v>
      </c>
      <c r="DYF82">
        <v>53248</v>
      </c>
      <c r="DYG82" t="s">
        <v>260</v>
      </c>
      <c r="DYH82">
        <v>44048</v>
      </c>
      <c r="DYI82">
        <v>44048</v>
      </c>
      <c r="DYJ82">
        <v>7076358</v>
      </c>
      <c r="DYK82">
        <v>0</v>
      </c>
      <c r="DYL82" t="s">
        <v>254</v>
      </c>
      <c r="DYM82">
        <v>830037946</v>
      </c>
      <c r="DYN82" t="s">
        <v>260</v>
      </c>
      <c r="DYO82">
        <v>131</v>
      </c>
      <c r="DYP82" t="s">
        <v>261</v>
      </c>
      <c r="DYQ82">
        <v>54018</v>
      </c>
      <c r="DYR82">
        <v>0</v>
      </c>
      <c r="DYS82">
        <v>7076358</v>
      </c>
      <c r="DYT82" t="s">
        <v>262</v>
      </c>
      <c r="DYU82" t="s">
        <v>196</v>
      </c>
      <c r="DYV82">
        <v>53248</v>
      </c>
      <c r="DYW82" t="s">
        <v>260</v>
      </c>
      <c r="DYX82">
        <v>44048</v>
      </c>
      <c r="DYY82">
        <v>44048</v>
      </c>
      <c r="DYZ82">
        <v>7076358</v>
      </c>
      <c r="DZA82">
        <v>0</v>
      </c>
      <c r="DZB82" t="s">
        <v>254</v>
      </c>
      <c r="DZC82">
        <v>830037946</v>
      </c>
      <c r="DZD82" t="s">
        <v>260</v>
      </c>
      <c r="DZE82">
        <v>131</v>
      </c>
      <c r="DZF82" t="s">
        <v>261</v>
      </c>
      <c r="DZG82">
        <v>54018</v>
      </c>
      <c r="DZH82">
        <v>0</v>
      </c>
      <c r="DZI82">
        <v>7076358</v>
      </c>
      <c r="DZJ82" t="s">
        <v>262</v>
      </c>
      <c r="DZK82" t="s">
        <v>196</v>
      </c>
      <c r="DZL82">
        <v>53248</v>
      </c>
      <c r="DZM82" t="s">
        <v>260</v>
      </c>
      <c r="DZN82">
        <v>44048</v>
      </c>
      <c r="DZO82">
        <v>44048</v>
      </c>
      <c r="DZP82">
        <v>7076358</v>
      </c>
      <c r="DZQ82">
        <v>0</v>
      </c>
      <c r="DZR82" t="s">
        <v>254</v>
      </c>
      <c r="DZS82">
        <v>830037946</v>
      </c>
      <c r="DZT82" t="s">
        <v>260</v>
      </c>
      <c r="DZU82">
        <v>131</v>
      </c>
      <c r="DZV82" t="s">
        <v>261</v>
      </c>
      <c r="DZW82">
        <v>54018</v>
      </c>
      <c r="DZX82">
        <v>0</v>
      </c>
      <c r="DZY82">
        <v>7076358</v>
      </c>
      <c r="DZZ82" t="s">
        <v>262</v>
      </c>
      <c r="EAA82" t="s">
        <v>196</v>
      </c>
      <c r="EAB82">
        <v>53248</v>
      </c>
      <c r="EAC82" t="s">
        <v>260</v>
      </c>
      <c r="EAD82">
        <v>44048</v>
      </c>
      <c r="EAE82">
        <v>44048</v>
      </c>
      <c r="EAF82">
        <v>7076358</v>
      </c>
      <c r="EAG82">
        <v>0</v>
      </c>
      <c r="EAH82" t="s">
        <v>254</v>
      </c>
      <c r="EAI82">
        <v>830037946</v>
      </c>
      <c r="EAJ82" t="s">
        <v>260</v>
      </c>
      <c r="EAK82">
        <v>131</v>
      </c>
      <c r="EAL82" t="s">
        <v>261</v>
      </c>
      <c r="EAM82">
        <v>54018</v>
      </c>
      <c r="EAN82">
        <v>0</v>
      </c>
      <c r="EAO82">
        <v>7076358</v>
      </c>
      <c r="EAP82" t="s">
        <v>262</v>
      </c>
      <c r="EAQ82" t="s">
        <v>196</v>
      </c>
      <c r="EAR82">
        <v>53248</v>
      </c>
      <c r="EAS82" t="s">
        <v>260</v>
      </c>
      <c r="EAT82">
        <v>44048</v>
      </c>
      <c r="EAU82">
        <v>44048</v>
      </c>
      <c r="EAV82">
        <v>7076358</v>
      </c>
      <c r="EAW82">
        <v>0</v>
      </c>
      <c r="EAX82" t="s">
        <v>254</v>
      </c>
      <c r="EAY82">
        <v>830037946</v>
      </c>
      <c r="EAZ82" t="s">
        <v>260</v>
      </c>
      <c r="EBA82">
        <v>131</v>
      </c>
      <c r="EBB82" t="s">
        <v>261</v>
      </c>
      <c r="EBC82">
        <v>54018</v>
      </c>
      <c r="EBD82">
        <v>0</v>
      </c>
      <c r="EBE82">
        <v>7076358</v>
      </c>
      <c r="EBF82" t="s">
        <v>262</v>
      </c>
      <c r="EBG82" t="s">
        <v>196</v>
      </c>
      <c r="EBH82">
        <v>53248</v>
      </c>
      <c r="EBI82" t="s">
        <v>260</v>
      </c>
      <c r="EBJ82">
        <v>44048</v>
      </c>
      <c r="EBK82">
        <v>44048</v>
      </c>
      <c r="EBL82">
        <v>7076358</v>
      </c>
      <c r="EBM82">
        <v>0</v>
      </c>
      <c r="EBN82" t="s">
        <v>254</v>
      </c>
      <c r="EBO82">
        <v>830037946</v>
      </c>
      <c r="EBP82" t="s">
        <v>260</v>
      </c>
      <c r="EBQ82">
        <v>131</v>
      </c>
      <c r="EBR82" t="s">
        <v>261</v>
      </c>
      <c r="EBS82">
        <v>54018</v>
      </c>
      <c r="EBT82">
        <v>0</v>
      </c>
      <c r="EBU82">
        <v>7076358</v>
      </c>
      <c r="EBV82" t="s">
        <v>262</v>
      </c>
      <c r="EBW82" t="s">
        <v>196</v>
      </c>
      <c r="EBX82">
        <v>53248</v>
      </c>
      <c r="EBY82" t="s">
        <v>260</v>
      </c>
      <c r="EBZ82">
        <v>44048</v>
      </c>
      <c r="ECA82">
        <v>44048</v>
      </c>
      <c r="ECB82">
        <v>7076358</v>
      </c>
      <c r="ECC82">
        <v>0</v>
      </c>
      <c r="ECD82" t="s">
        <v>254</v>
      </c>
      <c r="ECE82">
        <v>830037946</v>
      </c>
      <c r="ECF82" t="s">
        <v>260</v>
      </c>
      <c r="ECG82">
        <v>131</v>
      </c>
      <c r="ECH82" t="s">
        <v>261</v>
      </c>
      <c r="ECI82">
        <v>54018</v>
      </c>
      <c r="ECJ82">
        <v>0</v>
      </c>
      <c r="ECK82">
        <v>7076358</v>
      </c>
      <c r="ECL82" t="s">
        <v>262</v>
      </c>
      <c r="ECM82" t="s">
        <v>196</v>
      </c>
      <c r="ECN82">
        <v>53248</v>
      </c>
      <c r="ECO82" t="s">
        <v>260</v>
      </c>
      <c r="ECP82">
        <v>44048</v>
      </c>
      <c r="ECQ82">
        <v>44048</v>
      </c>
      <c r="ECR82">
        <v>7076358</v>
      </c>
      <c r="ECS82">
        <v>0</v>
      </c>
      <c r="ECT82" t="s">
        <v>254</v>
      </c>
      <c r="ECU82">
        <v>830037946</v>
      </c>
      <c r="ECV82" t="s">
        <v>260</v>
      </c>
      <c r="ECW82">
        <v>131</v>
      </c>
      <c r="ECX82" t="s">
        <v>261</v>
      </c>
      <c r="ECY82">
        <v>54018</v>
      </c>
      <c r="ECZ82">
        <v>0</v>
      </c>
      <c r="EDA82">
        <v>7076358</v>
      </c>
      <c r="EDB82" t="s">
        <v>262</v>
      </c>
      <c r="EDC82" t="s">
        <v>196</v>
      </c>
      <c r="EDD82">
        <v>53248</v>
      </c>
      <c r="EDE82" t="s">
        <v>260</v>
      </c>
      <c r="EDF82">
        <v>44048</v>
      </c>
      <c r="EDG82">
        <v>44048</v>
      </c>
      <c r="EDH82">
        <v>7076358</v>
      </c>
      <c r="EDI82">
        <v>0</v>
      </c>
      <c r="EDJ82" t="s">
        <v>254</v>
      </c>
      <c r="EDK82">
        <v>830037946</v>
      </c>
      <c r="EDL82" t="s">
        <v>260</v>
      </c>
      <c r="EDM82">
        <v>131</v>
      </c>
      <c r="EDN82" t="s">
        <v>261</v>
      </c>
      <c r="EDO82">
        <v>54018</v>
      </c>
      <c r="EDP82">
        <v>0</v>
      </c>
      <c r="EDQ82">
        <v>7076358</v>
      </c>
      <c r="EDR82" t="s">
        <v>262</v>
      </c>
      <c r="EDS82" t="s">
        <v>196</v>
      </c>
      <c r="EDT82">
        <v>53248</v>
      </c>
      <c r="EDU82" t="s">
        <v>260</v>
      </c>
      <c r="EDV82">
        <v>44048</v>
      </c>
      <c r="EDW82">
        <v>44048</v>
      </c>
      <c r="EDX82">
        <v>7076358</v>
      </c>
      <c r="EDY82">
        <v>0</v>
      </c>
      <c r="EDZ82" t="s">
        <v>254</v>
      </c>
      <c r="EEA82">
        <v>830037946</v>
      </c>
      <c r="EEB82" t="s">
        <v>260</v>
      </c>
      <c r="EEC82">
        <v>131</v>
      </c>
      <c r="EED82" t="s">
        <v>261</v>
      </c>
      <c r="EEE82">
        <v>54018</v>
      </c>
      <c r="EEF82">
        <v>0</v>
      </c>
      <c r="EEG82">
        <v>7076358</v>
      </c>
      <c r="EEH82" t="s">
        <v>262</v>
      </c>
      <c r="EEI82" t="s">
        <v>196</v>
      </c>
      <c r="EEJ82">
        <v>53248</v>
      </c>
      <c r="EEK82" t="s">
        <v>260</v>
      </c>
      <c r="EEL82">
        <v>44048</v>
      </c>
      <c r="EEM82">
        <v>44048</v>
      </c>
      <c r="EEN82">
        <v>7076358</v>
      </c>
      <c r="EEO82">
        <v>0</v>
      </c>
      <c r="EEP82" t="s">
        <v>254</v>
      </c>
      <c r="EEQ82">
        <v>830037946</v>
      </c>
      <c r="EER82" t="s">
        <v>260</v>
      </c>
      <c r="EES82">
        <v>131</v>
      </c>
      <c r="EET82" t="s">
        <v>261</v>
      </c>
      <c r="EEU82">
        <v>54018</v>
      </c>
      <c r="EEV82">
        <v>0</v>
      </c>
      <c r="EEW82">
        <v>7076358</v>
      </c>
      <c r="EEX82" t="s">
        <v>262</v>
      </c>
      <c r="EEY82" t="s">
        <v>196</v>
      </c>
      <c r="EEZ82">
        <v>53248</v>
      </c>
      <c r="EFA82" t="s">
        <v>260</v>
      </c>
      <c r="EFB82">
        <v>44048</v>
      </c>
      <c r="EFC82">
        <v>44048</v>
      </c>
      <c r="EFD82">
        <v>7076358</v>
      </c>
      <c r="EFE82">
        <v>0</v>
      </c>
      <c r="EFF82" t="s">
        <v>254</v>
      </c>
      <c r="EFG82">
        <v>830037946</v>
      </c>
      <c r="EFH82" t="s">
        <v>260</v>
      </c>
      <c r="EFI82">
        <v>131</v>
      </c>
      <c r="EFJ82" t="s">
        <v>261</v>
      </c>
      <c r="EFK82">
        <v>54018</v>
      </c>
      <c r="EFL82">
        <v>0</v>
      </c>
      <c r="EFM82">
        <v>7076358</v>
      </c>
      <c r="EFN82" t="s">
        <v>262</v>
      </c>
      <c r="EFO82" t="s">
        <v>196</v>
      </c>
      <c r="EFP82">
        <v>53248</v>
      </c>
      <c r="EFQ82" t="s">
        <v>260</v>
      </c>
      <c r="EFR82">
        <v>44048</v>
      </c>
      <c r="EFS82">
        <v>44048</v>
      </c>
      <c r="EFT82">
        <v>7076358</v>
      </c>
      <c r="EFU82">
        <v>0</v>
      </c>
      <c r="EFV82" t="s">
        <v>254</v>
      </c>
      <c r="EFW82">
        <v>830037946</v>
      </c>
      <c r="EFX82" t="s">
        <v>260</v>
      </c>
      <c r="EFY82">
        <v>131</v>
      </c>
      <c r="EFZ82" t="s">
        <v>261</v>
      </c>
      <c r="EGA82">
        <v>54018</v>
      </c>
      <c r="EGB82">
        <v>0</v>
      </c>
      <c r="EGC82">
        <v>7076358</v>
      </c>
      <c r="EGD82" t="s">
        <v>262</v>
      </c>
      <c r="EGE82" t="s">
        <v>196</v>
      </c>
      <c r="EGF82">
        <v>53248</v>
      </c>
      <c r="EGG82" t="s">
        <v>260</v>
      </c>
      <c r="EGH82">
        <v>44048</v>
      </c>
      <c r="EGI82">
        <v>44048</v>
      </c>
      <c r="EGJ82">
        <v>7076358</v>
      </c>
      <c r="EGK82">
        <v>0</v>
      </c>
      <c r="EGL82" t="s">
        <v>254</v>
      </c>
      <c r="EGM82">
        <v>830037946</v>
      </c>
      <c r="EGN82" t="s">
        <v>260</v>
      </c>
      <c r="EGO82">
        <v>131</v>
      </c>
      <c r="EGP82" t="s">
        <v>261</v>
      </c>
      <c r="EGQ82">
        <v>54018</v>
      </c>
      <c r="EGR82">
        <v>0</v>
      </c>
      <c r="EGS82">
        <v>7076358</v>
      </c>
      <c r="EGT82" t="s">
        <v>262</v>
      </c>
      <c r="EGU82" t="s">
        <v>196</v>
      </c>
      <c r="EGV82">
        <v>53248</v>
      </c>
      <c r="EGW82" t="s">
        <v>260</v>
      </c>
      <c r="EGX82">
        <v>44048</v>
      </c>
      <c r="EGY82">
        <v>44048</v>
      </c>
      <c r="EGZ82">
        <v>7076358</v>
      </c>
      <c r="EHA82">
        <v>0</v>
      </c>
      <c r="EHB82" t="s">
        <v>254</v>
      </c>
      <c r="EHC82">
        <v>830037946</v>
      </c>
      <c r="EHD82" t="s">
        <v>260</v>
      </c>
      <c r="EHE82">
        <v>131</v>
      </c>
      <c r="EHF82" t="s">
        <v>261</v>
      </c>
      <c r="EHG82">
        <v>54018</v>
      </c>
      <c r="EHH82">
        <v>0</v>
      </c>
      <c r="EHI82">
        <v>7076358</v>
      </c>
      <c r="EHJ82" t="s">
        <v>262</v>
      </c>
      <c r="EHK82" t="s">
        <v>196</v>
      </c>
      <c r="EHL82">
        <v>53248</v>
      </c>
      <c r="EHM82" t="s">
        <v>260</v>
      </c>
      <c r="EHN82">
        <v>44048</v>
      </c>
      <c r="EHO82">
        <v>44048</v>
      </c>
      <c r="EHP82">
        <v>7076358</v>
      </c>
      <c r="EHQ82">
        <v>0</v>
      </c>
      <c r="EHR82" t="s">
        <v>254</v>
      </c>
      <c r="EHS82">
        <v>830037946</v>
      </c>
      <c r="EHT82" t="s">
        <v>260</v>
      </c>
      <c r="EHU82">
        <v>131</v>
      </c>
      <c r="EHV82" t="s">
        <v>261</v>
      </c>
      <c r="EHW82">
        <v>54018</v>
      </c>
      <c r="EHX82">
        <v>0</v>
      </c>
      <c r="EHY82">
        <v>7076358</v>
      </c>
      <c r="EHZ82" t="s">
        <v>262</v>
      </c>
      <c r="EIA82" t="s">
        <v>196</v>
      </c>
      <c r="EIB82">
        <v>53248</v>
      </c>
      <c r="EIC82" t="s">
        <v>260</v>
      </c>
      <c r="EID82">
        <v>44048</v>
      </c>
      <c r="EIE82">
        <v>44048</v>
      </c>
      <c r="EIF82">
        <v>7076358</v>
      </c>
      <c r="EIG82">
        <v>0</v>
      </c>
      <c r="EIH82" t="s">
        <v>254</v>
      </c>
      <c r="EII82">
        <v>830037946</v>
      </c>
      <c r="EIJ82" t="s">
        <v>260</v>
      </c>
      <c r="EIK82">
        <v>131</v>
      </c>
      <c r="EIL82" t="s">
        <v>261</v>
      </c>
      <c r="EIM82">
        <v>54018</v>
      </c>
      <c r="EIN82">
        <v>0</v>
      </c>
      <c r="EIO82">
        <v>7076358</v>
      </c>
      <c r="EIP82" t="s">
        <v>262</v>
      </c>
      <c r="EIQ82" t="s">
        <v>196</v>
      </c>
      <c r="EIR82">
        <v>53248</v>
      </c>
      <c r="EIS82" t="s">
        <v>260</v>
      </c>
      <c r="EIT82">
        <v>44048</v>
      </c>
      <c r="EIU82">
        <v>44048</v>
      </c>
      <c r="EIV82">
        <v>7076358</v>
      </c>
      <c r="EIW82">
        <v>0</v>
      </c>
      <c r="EIX82" t="s">
        <v>254</v>
      </c>
      <c r="EIY82">
        <v>830037946</v>
      </c>
      <c r="EIZ82" t="s">
        <v>260</v>
      </c>
      <c r="EJA82">
        <v>131</v>
      </c>
      <c r="EJB82" t="s">
        <v>261</v>
      </c>
      <c r="EJC82">
        <v>54018</v>
      </c>
      <c r="EJD82">
        <v>0</v>
      </c>
      <c r="EJE82">
        <v>7076358</v>
      </c>
      <c r="EJF82" t="s">
        <v>262</v>
      </c>
      <c r="EJG82" t="s">
        <v>196</v>
      </c>
      <c r="EJH82">
        <v>53248</v>
      </c>
      <c r="EJI82" t="s">
        <v>260</v>
      </c>
      <c r="EJJ82">
        <v>44048</v>
      </c>
      <c r="EJK82">
        <v>44048</v>
      </c>
      <c r="EJL82">
        <v>7076358</v>
      </c>
      <c r="EJM82">
        <v>0</v>
      </c>
      <c r="EJN82" t="s">
        <v>254</v>
      </c>
      <c r="EJO82">
        <v>830037946</v>
      </c>
      <c r="EJP82" t="s">
        <v>260</v>
      </c>
      <c r="EJQ82">
        <v>131</v>
      </c>
      <c r="EJR82" t="s">
        <v>261</v>
      </c>
      <c r="EJS82">
        <v>54018</v>
      </c>
      <c r="EJT82">
        <v>0</v>
      </c>
      <c r="EJU82">
        <v>7076358</v>
      </c>
      <c r="EJV82" t="s">
        <v>262</v>
      </c>
      <c r="EJW82" t="s">
        <v>196</v>
      </c>
      <c r="EJX82">
        <v>53248</v>
      </c>
      <c r="EJY82" t="s">
        <v>260</v>
      </c>
      <c r="EJZ82">
        <v>44048</v>
      </c>
      <c r="EKA82">
        <v>44048</v>
      </c>
      <c r="EKB82">
        <v>7076358</v>
      </c>
      <c r="EKC82">
        <v>0</v>
      </c>
      <c r="EKD82" t="s">
        <v>254</v>
      </c>
      <c r="EKE82">
        <v>830037946</v>
      </c>
      <c r="EKF82" t="s">
        <v>260</v>
      </c>
      <c r="EKG82">
        <v>131</v>
      </c>
      <c r="EKH82" t="s">
        <v>261</v>
      </c>
      <c r="EKI82">
        <v>54018</v>
      </c>
      <c r="EKJ82">
        <v>0</v>
      </c>
      <c r="EKK82">
        <v>7076358</v>
      </c>
      <c r="EKL82" t="s">
        <v>262</v>
      </c>
      <c r="EKM82" t="s">
        <v>196</v>
      </c>
      <c r="EKN82">
        <v>53248</v>
      </c>
      <c r="EKO82" t="s">
        <v>260</v>
      </c>
      <c r="EKP82">
        <v>44048</v>
      </c>
      <c r="EKQ82">
        <v>44048</v>
      </c>
      <c r="EKR82">
        <v>7076358</v>
      </c>
      <c r="EKS82">
        <v>0</v>
      </c>
      <c r="EKT82" t="s">
        <v>254</v>
      </c>
      <c r="EKU82">
        <v>830037946</v>
      </c>
      <c r="EKV82" t="s">
        <v>260</v>
      </c>
      <c r="EKW82">
        <v>131</v>
      </c>
      <c r="EKX82" t="s">
        <v>261</v>
      </c>
      <c r="EKY82">
        <v>54018</v>
      </c>
      <c r="EKZ82">
        <v>0</v>
      </c>
      <c r="ELA82">
        <v>7076358</v>
      </c>
      <c r="ELB82" t="s">
        <v>262</v>
      </c>
      <c r="ELC82" t="s">
        <v>196</v>
      </c>
      <c r="ELD82">
        <v>53248</v>
      </c>
      <c r="ELE82" t="s">
        <v>260</v>
      </c>
      <c r="ELF82">
        <v>44048</v>
      </c>
      <c r="ELG82">
        <v>44048</v>
      </c>
      <c r="ELH82">
        <v>7076358</v>
      </c>
      <c r="ELI82">
        <v>0</v>
      </c>
      <c r="ELJ82" t="s">
        <v>254</v>
      </c>
      <c r="ELK82">
        <v>830037946</v>
      </c>
      <c r="ELL82" t="s">
        <v>260</v>
      </c>
      <c r="ELM82">
        <v>131</v>
      </c>
      <c r="ELN82" t="s">
        <v>261</v>
      </c>
      <c r="ELO82">
        <v>54018</v>
      </c>
      <c r="ELP82">
        <v>0</v>
      </c>
      <c r="ELQ82">
        <v>7076358</v>
      </c>
      <c r="ELR82" t="s">
        <v>262</v>
      </c>
      <c r="ELS82" t="s">
        <v>196</v>
      </c>
      <c r="ELT82">
        <v>53248</v>
      </c>
      <c r="ELU82" t="s">
        <v>260</v>
      </c>
      <c r="ELV82">
        <v>44048</v>
      </c>
      <c r="ELW82">
        <v>44048</v>
      </c>
      <c r="ELX82">
        <v>7076358</v>
      </c>
      <c r="ELY82">
        <v>0</v>
      </c>
      <c r="ELZ82" t="s">
        <v>254</v>
      </c>
      <c r="EMA82">
        <v>830037946</v>
      </c>
      <c r="EMB82" t="s">
        <v>260</v>
      </c>
      <c r="EMC82">
        <v>131</v>
      </c>
      <c r="EMD82" t="s">
        <v>261</v>
      </c>
      <c r="EME82">
        <v>54018</v>
      </c>
      <c r="EMF82">
        <v>0</v>
      </c>
      <c r="EMG82">
        <v>7076358</v>
      </c>
      <c r="EMH82" t="s">
        <v>262</v>
      </c>
      <c r="EMI82" t="s">
        <v>196</v>
      </c>
      <c r="EMJ82">
        <v>53248</v>
      </c>
      <c r="EMK82" t="s">
        <v>260</v>
      </c>
      <c r="EML82">
        <v>44048</v>
      </c>
      <c r="EMM82">
        <v>44048</v>
      </c>
      <c r="EMN82">
        <v>7076358</v>
      </c>
      <c r="EMO82">
        <v>0</v>
      </c>
      <c r="EMP82" t="s">
        <v>254</v>
      </c>
      <c r="EMQ82">
        <v>830037946</v>
      </c>
      <c r="EMR82" t="s">
        <v>260</v>
      </c>
      <c r="EMS82">
        <v>131</v>
      </c>
      <c r="EMT82" t="s">
        <v>261</v>
      </c>
      <c r="EMU82">
        <v>54018</v>
      </c>
      <c r="EMV82">
        <v>0</v>
      </c>
      <c r="EMW82">
        <v>7076358</v>
      </c>
      <c r="EMX82" t="s">
        <v>262</v>
      </c>
      <c r="EMY82" t="s">
        <v>196</v>
      </c>
      <c r="EMZ82">
        <v>53248</v>
      </c>
      <c r="ENA82" t="s">
        <v>260</v>
      </c>
      <c r="ENB82">
        <v>44048</v>
      </c>
      <c r="ENC82">
        <v>44048</v>
      </c>
      <c r="END82">
        <v>7076358</v>
      </c>
      <c r="ENE82">
        <v>0</v>
      </c>
      <c r="ENF82" t="s">
        <v>254</v>
      </c>
      <c r="ENG82">
        <v>830037946</v>
      </c>
      <c r="ENH82" t="s">
        <v>260</v>
      </c>
      <c r="ENI82">
        <v>131</v>
      </c>
      <c r="ENJ82" t="s">
        <v>261</v>
      </c>
      <c r="ENK82">
        <v>54018</v>
      </c>
      <c r="ENL82">
        <v>0</v>
      </c>
      <c r="ENM82">
        <v>7076358</v>
      </c>
      <c r="ENN82" t="s">
        <v>262</v>
      </c>
      <c r="ENO82" t="s">
        <v>196</v>
      </c>
      <c r="ENP82">
        <v>53248</v>
      </c>
      <c r="ENQ82" t="s">
        <v>260</v>
      </c>
      <c r="ENR82">
        <v>44048</v>
      </c>
      <c r="ENS82">
        <v>44048</v>
      </c>
      <c r="ENT82">
        <v>7076358</v>
      </c>
      <c r="ENU82">
        <v>0</v>
      </c>
      <c r="ENV82" t="s">
        <v>254</v>
      </c>
      <c r="ENW82">
        <v>830037946</v>
      </c>
      <c r="ENX82" t="s">
        <v>260</v>
      </c>
      <c r="ENY82">
        <v>131</v>
      </c>
      <c r="ENZ82" t="s">
        <v>261</v>
      </c>
      <c r="EOA82">
        <v>54018</v>
      </c>
      <c r="EOB82">
        <v>0</v>
      </c>
      <c r="EOC82">
        <v>7076358</v>
      </c>
      <c r="EOD82" t="s">
        <v>262</v>
      </c>
      <c r="EOE82" t="s">
        <v>196</v>
      </c>
      <c r="EOF82">
        <v>53248</v>
      </c>
      <c r="EOG82" t="s">
        <v>260</v>
      </c>
      <c r="EOH82">
        <v>44048</v>
      </c>
      <c r="EOI82">
        <v>44048</v>
      </c>
      <c r="EOJ82">
        <v>7076358</v>
      </c>
      <c r="EOK82">
        <v>0</v>
      </c>
      <c r="EOL82" t="s">
        <v>254</v>
      </c>
      <c r="EOM82">
        <v>830037946</v>
      </c>
      <c r="EON82" t="s">
        <v>260</v>
      </c>
      <c r="EOO82">
        <v>131</v>
      </c>
      <c r="EOP82" t="s">
        <v>261</v>
      </c>
      <c r="EOQ82">
        <v>54018</v>
      </c>
      <c r="EOR82">
        <v>0</v>
      </c>
      <c r="EOS82">
        <v>7076358</v>
      </c>
      <c r="EOT82" t="s">
        <v>262</v>
      </c>
      <c r="EOU82" t="s">
        <v>196</v>
      </c>
      <c r="EOV82">
        <v>53248</v>
      </c>
      <c r="EOW82" t="s">
        <v>260</v>
      </c>
      <c r="EOX82">
        <v>44048</v>
      </c>
      <c r="EOY82">
        <v>44048</v>
      </c>
      <c r="EOZ82">
        <v>7076358</v>
      </c>
      <c r="EPA82">
        <v>0</v>
      </c>
      <c r="EPB82" t="s">
        <v>254</v>
      </c>
      <c r="EPC82">
        <v>830037946</v>
      </c>
      <c r="EPD82" t="s">
        <v>260</v>
      </c>
      <c r="EPE82">
        <v>131</v>
      </c>
      <c r="EPF82" t="s">
        <v>261</v>
      </c>
      <c r="EPG82">
        <v>54018</v>
      </c>
      <c r="EPH82">
        <v>0</v>
      </c>
      <c r="EPI82">
        <v>7076358</v>
      </c>
      <c r="EPJ82" t="s">
        <v>262</v>
      </c>
      <c r="EPK82" t="s">
        <v>196</v>
      </c>
      <c r="EPL82">
        <v>53248</v>
      </c>
      <c r="EPM82" t="s">
        <v>260</v>
      </c>
      <c r="EPN82">
        <v>44048</v>
      </c>
      <c r="EPO82">
        <v>44048</v>
      </c>
      <c r="EPP82">
        <v>7076358</v>
      </c>
      <c r="EPQ82">
        <v>0</v>
      </c>
      <c r="EPR82" t="s">
        <v>254</v>
      </c>
      <c r="EPS82">
        <v>830037946</v>
      </c>
      <c r="EPT82" t="s">
        <v>260</v>
      </c>
      <c r="EPU82">
        <v>131</v>
      </c>
      <c r="EPV82" t="s">
        <v>261</v>
      </c>
      <c r="EPW82">
        <v>54018</v>
      </c>
      <c r="EPX82">
        <v>0</v>
      </c>
      <c r="EPY82">
        <v>7076358</v>
      </c>
      <c r="EPZ82" t="s">
        <v>262</v>
      </c>
      <c r="EQA82" t="s">
        <v>196</v>
      </c>
      <c r="EQB82">
        <v>53248</v>
      </c>
      <c r="EQC82" t="s">
        <v>260</v>
      </c>
      <c r="EQD82">
        <v>44048</v>
      </c>
      <c r="EQE82">
        <v>44048</v>
      </c>
      <c r="EQF82">
        <v>7076358</v>
      </c>
      <c r="EQG82">
        <v>0</v>
      </c>
      <c r="EQH82" t="s">
        <v>254</v>
      </c>
      <c r="EQI82">
        <v>830037946</v>
      </c>
      <c r="EQJ82" t="s">
        <v>260</v>
      </c>
      <c r="EQK82">
        <v>131</v>
      </c>
      <c r="EQL82" t="s">
        <v>261</v>
      </c>
      <c r="EQM82">
        <v>54018</v>
      </c>
      <c r="EQN82">
        <v>0</v>
      </c>
      <c r="EQO82">
        <v>7076358</v>
      </c>
      <c r="EQP82" t="s">
        <v>262</v>
      </c>
      <c r="EQQ82" t="s">
        <v>196</v>
      </c>
      <c r="EQR82">
        <v>53248</v>
      </c>
      <c r="EQS82" t="s">
        <v>260</v>
      </c>
      <c r="EQT82">
        <v>44048</v>
      </c>
      <c r="EQU82">
        <v>44048</v>
      </c>
      <c r="EQV82">
        <v>7076358</v>
      </c>
      <c r="EQW82">
        <v>0</v>
      </c>
      <c r="EQX82" t="s">
        <v>254</v>
      </c>
      <c r="EQY82">
        <v>830037946</v>
      </c>
      <c r="EQZ82" t="s">
        <v>260</v>
      </c>
      <c r="ERA82">
        <v>131</v>
      </c>
      <c r="ERB82" t="s">
        <v>261</v>
      </c>
      <c r="ERC82">
        <v>54018</v>
      </c>
      <c r="ERD82">
        <v>0</v>
      </c>
      <c r="ERE82">
        <v>7076358</v>
      </c>
      <c r="ERF82" t="s">
        <v>262</v>
      </c>
      <c r="ERG82" t="s">
        <v>196</v>
      </c>
      <c r="ERH82">
        <v>53248</v>
      </c>
      <c r="ERI82" t="s">
        <v>260</v>
      </c>
      <c r="ERJ82">
        <v>44048</v>
      </c>
      <c r="ERK82">
        <v>44048</v>
      </c>
      <c r="ERL82">
        <v>7076358</v>
      </c>
      <c r="ERM82">
        <v>0</v>
      </c>
      <c r="ERN82" t="s">
        <v>254</v>
      </c>
      <c r="ERO82">
        <v>830037946</v>
      </c>
      <c r="ERP82" t="s">
        <v>260</v>
      </c>
      <c r="ERQ82">
        <v>131</v>
      </c>
      <c r="ERR82" t="s">
        <v>261</v>
      </c>
      <c r="ERS82">
        <v>54018</v>
      </c>
      <c r="ERT82">
        <v>0</v>
      </c>
      <c r="ERU82">
        <v>7076358</v>
      </c>
      <c r="ERV82" t="s">
        <v>262</v>
      </c>
      <c r="ERW82" t="s">
        <v>196</v>
      </c>
      <c r="ERX82">
        <v>53248</v>
      </c>
      <c r="ERY82" t="s">
        <v>260</v>
      </c>
      <c r="ERZ82">
        <v>44048</v>
      </c>
      <c r="ESA82">
        <v>44048</v>
      </c>
      <c r="ESB82">
        <v>7076358</v>
      </c>
      <c r="ESC82">
        <v>0</v>
      </c>
      <c r="ESD82" t="s">
        <v>254</v>
      </c>
      <c r="ESE82">
        <v>830037946</v>
      </c>
      <c r="ESF82" t="s">
        <v>260</v>
      </c>
      <c r="ESG82">
        <v>131</v>
      </c>
      <c r="ESH82" t="s">
        <v>261</v>
      </c>
      <c r="ESI82">
        <v>54018</v>
      </c>
      <c r="ESJ82">
        <v>0</v>
      </c>
      <c r="ESK82">
        <v>7076358</v>
      </c>
      <c r="ESL82" t="s">
        <v>262</v>
      </c>
      <c r="ESM82" t="s">
        <v>196</v>
      </c>
      <c r="ESN82">
        <v>53248</v>
      </c>
      <c r="ESO82" t="s">
        <v>260</v>
      </c>
      <c r="ESP82">
        <v>44048</v>
      </c>
      <c r="ESQ82">
        <v>44048</v>
      </c>
      <c r="ESR82">
        <v>7076358</v>
      </c>
      <c r="ESS82">
        <v>0</v>
      </c>
      <c r="EST82" t="s">
        <v>254</v>
      </c>
      <c r="ESU82">
        <v>830037946</v>
      </c>
      <c r="ESV82" t="s">
        <v>260</v>
      </c>
      <c r="ESW82">
        <v>131</v>
      </c>
      <c r="ESX82" t="s">
        <v>261</v>
      </c>
      <c r="ESY82">
        <v>54018</v>
      </c>
      <c r="ESZ82">
        <v>0</v>
      </c>
      <c r="ETA82">
        <v>7076358</v>
      </c>
      <c r="ETB82" t="s">
        <v>262</v>
      </c>
      <c r="ETC82" t="s">
        <v>196</v>
      </c>
      <c r="ETD82">
        <v>53248</v>
      </c>
      <c r="ETE82" t="s">
        <v>260</v>
      </c>
      <c r="ETF82">
        <v>44048</v>
      </c>
      <c r="ETG82">
        <v>44048</v>
      </c>
      <c r="ETH82">
        <v>7076358</v>
      </c>
      <c r="ETI82">
        <v>0</v>
      </c>
      <c r="ETJ82" t="s">
        <v>254</v>
      </c>
      <c r="ETK82">
        <v>830037946</v>
      </c>
      <c r="ETL82" t="s">
        <v>260</v>
      </c>
      <c r="ETM82">
        <v>131</v>
      </c>
      <c r="ETN82" t="s">
        <v>261</v>
      </c>
      <c r="ETO82">
        <v>54018</v>
      </c>
      <c r="ETP82">
        <v>0</v>
      </c>
      <c r="ETQ82">
        <v>7076358</v>
      </c>
      <c r="ETR82" t="s">
        <v>262</v>
      </c>
      <c r="ETS82" t="s">
        <v>196</v>
      </c>
      <c r="ETT82">
        <v>53248</v>
      </c>
      <c r="ETU82" t="s">
        <v>260</v>
      </c>
      <c r="ETV82">
        <v>44048</v>
      </c>
      <c r="ETW82">
        <v>44048</v>
      </c>
      <c r="ETX82">
        <v>7076358</v>
      </c>
      <c r="ETY82">
        <v>0</v>
      </c>
      <c r="ETZ82" t="s">
        <v>254</v>
      </c>
      <c r="EUA82">
        <v>830037946</v>
      </c>
      <c r="EUB82" t="s">
        <v>260</v>
      </c>
      <c r="EUC82">
        <v>131</v>
      </c>
      <c r="EUD82" t="s">
        <v>261</v>
      </c>
      <c r="EUE82">
        <v>54018</v>
      </c>
      <c r="EUF82">
        <v>0</v>
      </c>
      <c r="EUG82">
        <v>7076358</v>
      </c>
      <c r="EUH82" t="s">
        <v>262</v>
      </c>
      <c r="EUI82" t="s">
        <v>196</v>
      </c>
      <c r="EUJ82">
        <v>53248</v>
      </c>
      <c r="EUK82" t="s">
        <v>260</v>
      </c>
      <c r="EUL82">
        <v>44048</v>
      </c>
      <c r="EUM82">
        <v>44048</v>
      </c>
      <c r="EUN82">
        <v>7076358</v>
      </c>
      <c r="EUO82">
        <v>0</v>
      </c>
      <c r="EUP82" t="s">
        <v>254</v>
      </c>
      <c r="EUQ82">
        <v>830037946</v>
      </c>
      <c r="EUR82" t="s">
        <v>260</v>
      </c>
      <c r="EUS82">
        <v>131</v>
      </c>
      <c r="EUT82" t="s">
        <v>261</v>
      </c>
      <c r="EUU82">
        <v>54018</v>
      </c>
      <c r="EUV82">
        <v>0</v>
      </c>
      <c r="EUW82">
        <v>7076358</v>
      </c>
      <c r="EUX82" t="s">
        <v>262</v>
      </c>
      <c r="EUY82" t="s">
        <v>196</v>
      </c>
      <c r="EUZ82">
        <v>53248</v>
      </c>
      <c r="EVA82" t="s">
        <v>260</v>
      </c>
      <c r="EVB82">
        <v>44048</v>
      </c>
      <c r="EVC82">
        <v>44048</v>
      </c>
      <c r="EVD82">
        <v>7076358</v>
      </c>
      <c r="EVE82">
        <v>0</v>
      </c>
      <c r="EVF82" t="s">
        <v>254</v>
      </c>
      <c r="EVG82">
        <v>830037946</v>
      </c>
      <c r="EVH82" t="s">
        <v>260</v>
      </c>
      <c r="EVI82">
        <v>131</v>
      </c>
      <c r="EVJ82" t="s">
        <v>261</v>
      </c>
      <c r="EVK82">
        <v>54018</v>
      </c>
      <c r="EVL82">
        <v>0</v>
      </c>
      <c r="EVM82">
        <v>7076358</v>
      </c>
      <c r="EVN82" t="s">
        <v>262</v>
      </c>
      <c r="EVO82" t="s">
        <v>196</v>
      </c>
      <c r="EVP82">
        <v>53248</v>
      </c>
      <c r="EVQ82" t="s">
        <v>260</v>
      </c>
      <c r="EVR82">
        <v>44048</v>
      </c>
      <c r="EVS82">
        <v>44048</v>
      </c>
      <c r="EVT82">
        <v>7076358</v>
      </c>
      <c r="EVU82">
        <v>0</v>
      </c>
      <c r="EVV82" t="s">
        <v>254</v>
      </c>
      <c r="EVW82">
        <v>830037946</v>
      </c>
      <c r="EVX82" t="s">
        <v>260</v>
      </c>
      <c r="EVY82">
        <v>131</v>
      </c>
      <c r="EVZ82" t="s">
        <v>261</v>
      </c>
      <c r="EWA82">
        <v>54018</v>
      </c>
      <c r="EWB82">
        <v>0</v>
      </c>
      <c r="EWC82">
        <v>7076358</v>
      </c>
      <c r="EWD82" t="s">
        <v>262</v>
      </c>
      <c r="EWE82" t="s">
        <v>196</v>
      </c>
      <c r="EWF82">
        <v>53248</v>
      </c>
      <c r="EWG82" t="s">
        <v>260</v>
      </c>
      <c r="EWH82">
        <v>44048</v>
      </c>
      <c r="EWI82">
        <v>44048</v>
      </c>
      <c r="EWJ82">
        <v>7076358</v>
      </c>
      <c r="EWK82">
        <v>0</v>
      </c>
      <c r="EWL82" t="s">
        <v>254</v>
      </c>
      <c r="EWM82">
        <v>830037946</v>
      </c>
      <c r="EWN82" t="s">
        <v>260</v>
      </c>
      <c r="EWO82">
        <v>131</v>
      </c>
      <c r="EWP82" t="s">
        <v>261</v>
      </c>
      <c r="EWQ82">
        <v>54018</v>
      </c>
      <c r="EWR82">
        <v>0</v>
      </c>
      <c r="EWS82">
        <v>7076358</v>
      </c>
      <c r="EWT82" t="s">
        <v>262</v>
      </c>
      <c r="EWU82" t="s">
        <v>196</v>
      </c>
      <c r="EWV82">
        <v>53248</v>
      </c>
      <c r="EWW82" t="s">
        <v>260</v>
      </c>
      <c r="EWX82">
        <v>44048</v>
      </c>
      <c r="EWY82">
        <v>44048</v>
      </c>
      <c r="EWZ82">
        <v>7076358</v>
      </c>
      <c r="EXA82">
        <v>0</v>
      </c>
      <c r="EXB82" t="s">
        <v>254</v>
      </c>
      <c r="EXC82">
        <v>830037946</v>
      </c>
      <c r="EXD82" t="s">
        <v>260</v>
      </c>
      <c r="EXE82">
        <v>131</v>
      </c>
      <c r="EXF82" t="s">
        <v>261</v>
      </c>
      <c r="EXG82">
        <v>54018</v>
      </c>
      <c r="EXH82">
        <v>0</v>
      </c>
      <c r="EXI82">
        <v>7076358</v>
      </c>
      <c r="EXJ82" t="s">
        <v>262</v>
      </c>
      <c r="EXK82" t="s">
        <v>196</v>
      </c>
      <c r="EXL82">
        <v>53248</v>
      </c>
      <c r="EXM82" t="s">
        <v>260</v>
      </c>
      <c r="EXN82">
        <v>44048</v>
      </c>
      <c r="EXO82">
        <v>44048</v>
      </c>
      <c r="EXP82">
        <v>7076358</v>
      </c>
      <c r="EXQ82">
        <v>0</v>
      </c>
      <c r="EXR82" t="s">
        <v>254</v>
      </c>
      <c r="EXS82">
        <v>830037946</v>
      </c>
      <c r="EXT82" t="s">
        <v>260</v>
      </c>
      <c r="EXU82">
        <v>131</v>
      </c>
      <c r="EXV82" t="s">
        <v>261</v>
      </c>
      <c r="EXW82">
        <v>54018</v>
      </c>
      <c r="EXX82">
        <v>0</v>
      </c>
      <c r="EXY82">
        <v>7076358</v>
      </c>
      <c r="EXZ82" t="s">
        <v>262</v>
      </c>
      <c r="EYA82" t="s">
        <v>196</v>
      </c>
      <c r="EYB82">
        <v>53248</v>
      </c>
      <c r="EYC82" t="s">
        <v>260</v>
      </c>
      <c r="EYD82">
        <v>44048</v>
      </c>
      <c r="EYE82">
        <v>44048</v>
      </c>
      <c r="EYF82">
        <v>7076358</v>
      </c>
      <c r="EYG82">
        <v>0</v>
      </c>
      <c r="EYH82" t="s">
        <v>254</v>
      </c>
      <c r="EYI82">
        <v>830037946</v>
      </c>
      <c r="EYJ82" t="s">
        <v>260</v>
      </c>
      <c r="EYK82">
        <v>131</v>
      </c>
      <c r="EYL82" t="s">
        <v>261</v>
      </c>
      <c r="EYM82">
        <v>54018</v>
      </c>
      <c r="EYN82">
        <v>0</v>
      </c>
      <c r="EYO82">
        <v>7076358</v>
      </c>
      <c r="EYP82" t="s">
        <v>262</v>
      </c>
      <c r="EYQ82" t="s">
        <v>196</v>
      </c>
      <c r="EYR82">
        <v>53248</v>
      </c>
      <c r="EYS82" t="s">
        <v>260</v>
      </c>
      <c r="EYT82">
        <v>44048</v>
      </c>
      <c r="EYU82">
        <v>44048</v>
      </c>
      <c r="EYV82">
        <v>7076358</v>
      </c>
      <c r="EYW82">
        <v>0</v>
      </c>
      <c r="EYX82" t="s">
        <v>254</v>
      </c>
      <c r="EYY82">
        <v>830037946</v>
      </c>
      <c r="EYZ82" t="s">
        <v>260</v>
      </c>
      <c r="EZA82">
        <v>131</v>
      </c>
      <c r="EZB82" t="s">
        <v>261</v>
      </c>
      <c r="EZC82">
        <v>54018</v>
      </c>
      <c r="EZD82">
        <v>0</v>
      </c>
      <c r="EZE82">
        <v>7076358</v>
      </c>
      <c r="EZF82" t="s">
        <v>262</v>
      </c>
      <c r="EZG82" t="s">
        <v>196</v>
      </c>
      <c r="EZH82">
        <v>53248</v>
      </c>
      <c r="EZI82" t="s">
        <v>260</v>
      </c>
      <c r="EZJ82">
        <v>44048</v>
      </c>
      <c r="EZK82">
        <v>44048</v>
      </c>
      <c r="EZL82">
        <v>7076358</v>
      </c>
      <c r="EZM82">
        <v>0</v>
      </c>
      <c r="EZN82" t="s">
        <v>254</v>
      </c>
      <c r="EZO82">
        <v>830037946</v>
      </c>
      <c r="EZP82" t="s">
        <v>260</v>
      </c>
      <c r="EZQ82">
        <v>131</v>
      </c>
      <c r="EZR82" t="s">
        <v>261</v>
      </c>
      <c r="EZS82">
        <v>54018</v>
      </c>
      <c r="EZT82">
        <v>0</v>
      </c>
      <c r="EZU82">
        <v>7076358</v>
      </c>
      <c r="EZV82" t="s">
        <v>262</v>
      </c>
      <c r="EZW82" t="s">
        <v>196</v>
      </c>
      <c r="EZX82">
        <v>53248</v>
      </c>
      <c r="EZY82" t="s">
        <v>260</v>
      </c>
      <c r="EZZ82">
        <v>44048</v>
      </c>
      <c r="FAA82">
        <v>44048</v>
      </c>
      <c r="FAB82">
        <v>7076358</v>
      </c>
      <c r="FAC82">
        <v>0</v>
      </c>
      <c r="FAD82" t="s">
        <v>254</v>
      </c>
      <c r="FAE82">
        <v>830037946</v>
      </c>
      <c r="FAF82" t="s">
        <v>260</v>
      </c>
      <c r="FAG82">
        <v>131</v>
      </c>
      <c r="FAH82" t="s">
        <v>261</v>
      </c>
      <c r="FAI82">
        <v>54018</v>
      </c>
      <c r="FAJ82">
        <v>0</v>
      </c>
      <c r="FAK82">
        <v>7076358</v>
      </c>
      <c r="FAL82" t="s">
        <v>262</v>
      </c>
      <c r="FAM82" t="s">
        <v>196</v>
      </c>
      <c r="FAN82">
        <v>53248</v>
      </c>
      <c r="FAO82" t="s">
        <v>260</v>
      </c>
      <c r="FAP82">
        <v>44048</v>
      </c>
      <c r="FAQ82">
        <v>44048</v>
      </c>
      <c r="FAR82">
        <v>7076358</v>
      </c>
      <c r="FAS82">
        <v>0</v>
      </c>
      <c r="FAT82" t="s">
        <v>254</v>
      </c>
      <c r="FAU82">
        <v>830037946</v>
      </c>
      <c r="FAV82" t="s">
        <v>260</v>
      </c>
      <c r="FAW82">
        <v>131</v>
      </c>
      <c r="FAX82" t="s">
        <v>261</v>
      </c>
      <c r="FAY82">
        <v>54018</v>
      </c>
      <c r="FAZ82">
        <v>0</v>
      </c>
      <c r="FBA82">
        <v>7076358</v>
      </c>
      <c r="FBB82" t="s">
        <v>262</v>
      </c>
      <c r="FBC82" t="s">
        <v>196</v>
      </c>
      <c r="FBD82">
        <v>53248</v>
      </c>
      <c r="FBE82" t="s">
        <v>260</v>
      </c>
      <c r="FBF82">
        <v>44048</v>
      </c>
      <c r="FBG82">
        <v>44048</v>
      </c>
      <c r="FBH82">
        <v>7076358</v>
      </c>
      <c r="FBI82">
        <v>0</v>
      </c>
      <c r="FBJ82" t="s">
        <v>254</v>
      </c>
      <c r="FBK82">
        <v>830037946</v>
      </c>
      <c r="FBL82" t="s">
        <v>260</v>
      </c>
      <c r="FBM82">
        <v>131</v>
      </c>
      <c r="FBN82" t="s">
        <v>261</v>
      </c>
      <c r="FBO82">
        <v>54018</v>
      </c>
      <c r="FBP82">
        <v>0</v>
      </c>
      <c r="FBQ82">
        <v>7076358</v>
      </c>
      <c r="FBR82" t="s">
        <v>262</v>
      </c>
      <c r="FBS82" t="s">
        <v>196</v>
      </c>
      <c r="FBT82">
        <v>53248</v>
      </c>
      <c r="FBU82" t="s">
        <v>260</v>
      </c>
      <c r="FBV82">
        <v>44048</v>
      </c>
      <c r="FBW82">
        <v>44048</v>
      </c>
      <c r="FBX82">
        <v>7076358</v>
      </c>
      <c r="FBY82">
        <v>0</v>
      </c>
      <c r="FBZ82" t="s">
        <v>254</v>
      </c>
      <c r="FCA82">
        <v>830037946</v>
      </c>
      <c r="FCB82" t="s">
        <v>260</v>
      </c>
      <c r="FCC82">
        <v>131</v>
      </c>
      <c r="FCD82" t="s">
        <v>261</v>
      </c>
      <c r="FCE82">
        <v>54018</v>
      </c>
      <c r="FCF82">
        <v>0</v>
      </c>
      <c r="FCG82">
        <v>7076358</v>
      </c>
      <c r="FCH82" t="s">
        <v>262</v>
      </c>
      <c r="FCI82" t="s">
        <v>196</v>
      </c>
      <c r="FCJ82">
        <v>53248</v>
      </c>
      <c r="FCK82" t="s">
        <v>260</v>
      </c>
      <c r="FCL82">
        <v>44048</v>
      </c>
      <c r="FCM82">
        <v>44048</v>
      </c>
      <c r="FCN82">
        <v>7076358</v>
      </c>
      <c r="FCO82">
        <v>0</v>
      </c>
      <c r="FCP82" t="s">
        <v>254</v>
      </c>
      <c r="FCQ82">
        <v>830037946</v>
      </c>
      <c r="FCR82" t="s">
        <v>260</v>
      </c>
      <c r="FCS82">
        <v>131</v>
      </c>
      <c r="FCT82" t="s">
        <v>261</v>
      </c>
      <c r="FCU82">
        <v>54018</v>
      </c>
      <c r="FCV82">
        <v>0</v>
      </c>
      <c r="FCW82">
        <v>7076358</v>
      </c>
      <c r="FCX82" t="s">
        <v>262</v>
      </c>
      <c r="FCY82" t="s">
        <v>196</v>
      </c>
      <c r="FCZ82">
        <v>53248</v>
      </c>
      <c r="FDA82" t="s">
        <v>260</v>
      </c>
      <c r="FDB82">
        <v>44048</v>
      </c>
      <c r="FDC82">
        <v>44048</v>
      </c>
      <c r="FDD82">
        <v>7076358</v>
      </c>
      <c r="FDE82">
        <v>0</v>
      </c>
      <c r="FDF82" t="s">
        <v>254</v>
      </c>
      <c r="FDG82">
        <v>830037946</v>
      </c>
      <c r="FDH82" t="s">
        <v>260</v>
      </c>
      <c r="FDI82">
        <v>131</v>
      </c>
      <c r="FDJ82" t="s">
        <v>261</v>
      </c>
      <c r="FDK82">
        <v>54018</v>
      </c>
      <c r="FDL82">
        <v>0</v>
      </c>
      <c r="FDM82">
        <v>7076358</v>
      </c>
      <c r="FDN82" t="s">
        <v>262</v>
      </c>
      <c r="FDO82" t="s">
        <v>196</v>
      </c>
      <c r="FDP82">
        <v>53248</v>
      </c>
      <c r="FDQ82" t="s">
        <v>260</v>
      </c>
      <c r="FDR82">
        <v>44048</v>
      </c>
      <c r="FDS82">
        <v>44048</v>
      </c>
      <c r="FDT82">
        <v>7076358</v>
      </c>
      <c r="FDU82">
        <v>0</v>
      </c>
      <c r="FDV82" t="s">
        <v>254</v>
      </c>
      <c r="FDW82">
        <v>830037946</v>
      </c>
      <c r="FDX82" t="s">
        <v>260</v>
      </c>
      <c r="FDY82">
        <v>131</v>
      </c>
      <c r="FDZ82" t="s">
        <v>261</v>
      </c>
      <c r="FEA82">
        <v>54018</v>
      </c>
      <c r="FEB82">
        <v>0</v>
      </c>
      <c r="FEC82">
        <v>7076358</v>
      </c>
      <c r="FED82" t="s">
        <v>262</v>
      </c>
      <c r="FEE82" t="s">
        <v>196</v>
      </c>
      <c r="FEF82">
        <v>53248</v>
      </c>
      <c r="FEG82" t="s">
        <v>260</v>
      </c>
      <c r="FEH82">
        <v>44048</v>
      </c>
      <c r="FEI82">
        <v>44048</v>
      </c>
      <c r="FEJ82">
        <v>7076358</v>
      </c>
      <c r="FEK82">
        <v>0</v>
      </c>
      <c r="FEL82" t="s">
        <v>254</v>
      </c>
      <c r="FEM82">
        <v>830037946</v>
      </c>
      <c r="FEN82" t="s">
        <v>260</v>
      </c>
      <c r="FEO82">
        <v>131</v>
      </c>
      <c r="FEP82" t="s">
        <v>261</v>
      </c>
      <c r="FEQ82">
        <v>54018</v>
      </c>
      <c r="FER82">
        <v>0</v>
      </c>
      <c r="FES82">
        <v>7076358</v>
      </c>
      <c r="FET82" t="s">
        <v>262</v>
      </c>
      <c r="FEU82" t="s">
        <v>196</v>
      </c>
      <c r="FEV82">
        <v>53248</v>
      </c>
      <c r="FEW82" t="s">
        <v>260</v>
      </c>
      <c r="FEX82">
        <v>44048</v>
      </c>
      <c r="FEY82">
        <v>44048</v>
      </c>
      <c r="FEZ82">
        <v>7076358</v>
      </c>
      <c r="FFA82">
        <v>0</v>
      </c>
      <c r="FFB82" t="s">
        <v>254</v>
      </c>
      <c r="FFC82">
        <v>830037946</v>
      </c>
      <c r="FFD82" t="s">
        <v>260</v>
      </c>
      <c r="FFE82">
        <v>131</v>
      </c>
      <c r="FFF82" t="s">
        <v>261</v>
      </c>
      <c r="FFG82">
        <v>54018</v>
      </c>
      <c r="FFH82">
        <v>0</v>
      </c>
      <c r="FFI82">
        <v>7076358</v>
      </c>
      <c r="FFJ82" t="s">
        <v>262</v>
      </c>
      <c r="FFK82" t="s">
        <v>196</v>
      </c>
      <c r="FFL82">
        <v>53248</v>
      </c>
      <c r="FFM82" t="s">
        <v>260</v>
      </c>
      <c r="FFN82">
        <v>44048</v>
      </c>
      <c r="FFO82">
        <v>44048</v>
      </c>
      <c r="FFP82">
        <v>7076358</v>
      </c>
      <c r="FFQ82">
        <v>0</v>
      </c>
      <c r="FFR82" t="s">
        <v>254</v>
      </c>
      <c r="FFS82">
        <v>830037946</v>
      </c>
      <c r="FFT82" t="s">
        <v>260</v>
      </c>
      <c r="FFU82">
        <v>131</v>
      </c>
      <c r="FFV82" t="s">
        <v>261</v>
      </c>
      <c r="FFW82">
        <v>54018</v>
      </c>
      <c r="FFX82">
        <v>0</v>
      </c>
      <c r="FFY82">
        <v>7076358</v>
      </c>
      <c r="FFZ82" t="s">
        <v>262</v>
      </c>
      <c r="FGA82" t="s">
        <v>196</v>
      </c>
      <c r="FGB82">
        <v>53248</v>
      </c>
      <c r="FGC82" t="s">
        <v>260</v>
      </c>
      <c r="FGD82">
        <v>44048</v>
      </c>
      <c r="FGE82">
        <v>44048</v>
      </c>
      <c r="FGF82">
        <v>7076358</v>
      </c>
      <c r="FGG82">
        <v>0</v>
      </c>
      <c r="FGH82" t="s">
        <v>254</v>
      </c>
      <c r="FGI82">
        <v>830037946</v>
      </c>
      <c r="FGJ82" t="s">
        <v>260</v>
      </c>
      <c r="FGK82">
        <v>131</v>
      </c>
      <c r="FGL82" t="s">
        <v>261</v>
      </c>
      <c r="FGM82">
        <v>54018</v>
      </c>
      <c r="FGN82">
        <v>0</v>
      </c>
      <c r="FGO82">
        <v>7076358</v>
      </c>
      <c r="FGP82" t="s">
        <v>262</v>
      </c>
      <c r="FGQ82" t="s">
        <v>196</v>
      </c>
      <c r="FGR82">
        <v>53248</v>
      </c>
      <c r="FGS82" t="s">
        <v>260</v>
      </c>
      <c r="FGT82">
        <v>44048</v>
      </c>
      <c r="FGU82">
        <v>44048</v>
      </c>
      <c r="FGV82">
        <v>7076358</v>
      </c>
      <c r="FGW82">
        <v>0</v>
      </c>
      <c r="FGX82" t="s">
        <v>254</v>
      </c>
      <c r="FGY82">
        <v>830037946</v>
      </c>
      <c r="FGZ82" t="s">
        <v>260</v>
      </c>
      <c r="FHA82">
        <v>131</v>
      </c>
      <c r="FHB82" t="s">
        <v>261</v>
      </c>
      <c r="FHC82">
        <v>54018</v>
      </c>
      <c r="FHD82">
        <v>0</v>
      </c>
      <c r="FHE82">
        <v>7076358</v>
      </c>
      <c r="FHF82" t="s">
        <v>262</v>
      </c>
      <c r="FHG82" t="s">
        <v>196</v>
      </c>
      <c r="FHH82">
        <v>53248</v>
      </c>
      <c r="FHI82" t="s">
        <v>260</v>
      </c>
      <c r="FHJ82">
        <v>44048</v>
      </c>
      <c r="FHK82">
        <v>44048</v>
      </c>
      <c r="FHL82">
        <v>7076358</v>
      </c>
      <c r="FHM82">
        <v>0</v>
      </c>
      <c r="FHN82" t="s">
        <v>254</v>
      </c>
      <c r="FHO82">
        <v>830037946</v>
      </c>
      <c r="FHP82" t="s">
        <v>260</v>
      </c>
      <c r="FHQ82">
        <v>131</v>
      </c>
      <c r="FHR82" t="s">
        <v>261</v>
      </c>
      <c r="FHS82">
        <v>54018</v>
      </c>
      <c r="FHT82">
        <v>0</v>
      </c>
      <c r="FHU82">
        <v>7076358</v>
      </c>
      <c r="FHV82" t="s">
        <v>262</v>
      </c>
      <c r="FHW82" t="s">
        <v>196</v>
      </c>
      <c r="FHX82">
        <v>53248</v>
      </c>
      <c r="FHY82" t="s">
        <v>260</v>
      </c>
      <c r="FHZ82">
        <v>44048</v>
      </c>
      <c r="FIA82">
        <v>44048</v>
      </c>
      <c r="FIB82">
        <v>7076358</v>
      </c>
      <c r="FIC82">
        <v>0</v>
      </c>
      <c r="FID82" t="s">
        <v>254</v>
      </c>
      <c r="FIE82">
        <v>830037946</v>
      </c>
      <c r="FIF82" t="s">
        <v>260</v>
      </c>
      <c r="FIG82">
        <v>131</v>
      </c>
      <c r="FIH82" t="s">
        <v>261</v>
      </c>
      <c r="FII82">
        <v>54018</v>
      </c>
      <c r="FIJ82">
        <v>0</v>
      </c>
      <c r="FIK82">
        <v>7076358</v>
      </c>
      <c r="FIL82" t="s">
        <v>262</v>
      </c>
      <c r="FIM82" t="s">
        <v>196</v>
      </c>
      <c r="FIN82">
        <v>53248</v>
      </c>
      <c r="FIO82" t="s">
        <v>260</v>
      </c>
      <c r="FIP82">
        <v>44048</v>
      </c>
      <c r="FIQ82">
        <v>44048</v>
      </c>
      <c r="FIR82">
        <v>7076358</v>
      </c>
      <c r="FIS82">
        <v>0</v>
      </c>
      <c r="FIT82" t="s">
        <v>254</v>
      </c>
      <c r="FIU82">
        <v>830037946</v>
      </c>
      <c r="FIV82" t="s">
        <v>260</v>
      </c>
      <c r="FIW82">
        <v>131</v>
      </c>
      <c r="FIX82" t="s">
        <v>261</v>
      </c>
      <c r="FIY82">
        <v>54018</v>
      </c>
      <c r="FIZ82">
        <v>0</v>
      </c>
      <c r="FJA82">
        <v>7076358</v>
      </c>
      <c r="FJB82" t="s">
        <v>262</v>
      </c>
      <c r="FJC82" t="s">
        <v>196</v>
      </c>
      <c r="FJD82">
        <v>53248</v>
      </c>
      <c r="FJE82" t="s">
        <v>260</v>
      </c>
      <c r="FJF82">
        <v>44048</v>
      </c>
      <c r="FJG82">
        <v>44048</v>
      </c>
      <c r="FJH82">
        <v>7076358</v>
      </c>
      <c r="FJI82">
        <v>0</v>
      </c>
      <c r="FJJ82" t="s">
        <v>254</v>
      </c>
      <c r="FJK82">
        <v>830037946</v>
      </c>
      <c r="FJL82" t="s">
        <v>260</v>
      </c>
      <c r="FJM82">
        <v>131</v>
      </c>
      <c r="FJN82" t="s">
        <v>261</v>
      </c>
      <c r="FJO82">
        <v>54018</v>
      </c>
      <c r="FJP82">
        <v>0</v>
      </c>
      <c r="FJQ82">
        <v>7076358</v>
      </c>
      <c r="FJR82" t="s">
        <v>262</v>
      </c>
      <c r="FJS82" t="s">
        <v>196</v>
      </c>
      <c r="FJT82">
        <v>53248</v>
      </c>
      <c r="FJU82" t="s">
        <v>260</v>
      </c>
      <c r="FJV82">
        <v>44048</v>
      </c>
      <c r="FJW82">
        <v>44048</v>
      </c>
      <c r="FJX82">
        <v>7076358</v>
      </c>
      <c r="FJY82">
        <v>0</v>
      </c>
      <c r="FJZ82" t="s">
        <v>254</v>
      </c>
      <c r="FKA82">
        <v>830037946</v>
      </c>
      <c r="FKB82" t="s">
        <v>260</v>
      </c>
      <c r="FKC82">
        <v>131</v>
      </c>
      <c r="FKD82" t="s">
        <v>261</v>
      </c>
      <c r="FKE82">
        <v>54018</v>
      </c>
      <c r="FKF82">
        <v>0</v>
      </c>
      <c r="FKG82">
        <v>7076358</v>
      </c>
      <c r="FKH82" t="s">
        <v>262</v>
      </c>
      <c r="FKI82" t="s">
        <v>196</v>
      </c>
      <c r="FKJ82">
        <v>53248</v>
      </c>
      <c r="FKK82" t="s">
        <v>260</v>
      </c>
      <c r="FKL82">
        <v>44048</v>
      </c>
      <c r="FKM82">
        <v>44048</v>
      </c>
      <c r="FKN82">
        <v>7076358</v>
      </c>
      <c r="FKO82">
        <v>0</v>
      </c>
      <c r="FKP82" t="s">
        <v>254</v>
      </c>
      <c r="FKQ82">
        <v>830037946</v>
      </c>
      <c r="FKR82" t="s">
        <v>260</v>
      </c>
      <c r="FKS82">
        <v>131</v>
      </c>
      <c r="FKT82" t="s">
        <v>261</v>
      </c>
      <c r="FKU82">
        <v>54018</v>
      </c>
      <c r="FKV82">
        <v>0</v>
      </c>
      <c r="FKW82">
        <v>7076358</v>
      </c>
      <c r="FKX82" t="s">
        <v>262</v>
      </c>
      <c r="FKY82" t="s">
        <v>196</v>
      </c>
      <c r="FKZ82">
        <v>53248</v>
      </c>
      <c r="FLA82" t="s">
        <v>260</v>
      </c>
      <c r="FLB82">
        <v>44048</v>
      </c>
      <c r="FLC82">
        <v>44048</v>
      </c>
      <c r="FLD82">
        <v>7076358</v>
      </c>
      <c r="FLE82">
        <v>0</v>
      </c>
      <c r="FLF82" t="s">
        <v>254</v>
      </c>
      <c r="FLG82">
        <v>830037946</v>
      </c>
      <c r="FLH82" t="s">
        <v>260</v>
      </c>
      <c r="FLI82">
        <v>131</v>
      </c>
      <c r="FLJ82" t="s">
        <v>261</v>
      </c>
      <c r="FLK82">
        <v>54018</v>
      </c>
      <c r="FLL82">
        <v>0</v>
      </c>
      <c r="FLM82">
        <v>7076358</v>
      </c>
      <c r="FLN82" t="s">
        <v>262</v>
      </c>
      <c r="FLO82" t="s">
        <v>196</v>
      </c>
      <c r="FLP82">
        <v>53248</v>
      </c>
      <c r="FLQ82" t="s">
        <v>260</v>
      </c>
      <c r="FLR82">
        <v>44048</v>
      </c>
      <c r="FLS82">
        <v>44048</v>
      </c>
      <c r="FLT82">
        <v>7076358</v>
      </c>
      <c r="FLU82">
        <v>0</v>
      </c>
      <c r="FLV82" t="s">
        <v>254</v>
      </c>
      <c r="FLW82">
        <v>830037946</v>
      </c>
      <c r="FLX82" t="s">
        <v>260</v>
      </c>
      <c r="FLY82">
        <v>131</v>
      </c>
      <c r="FLZ82" t="s">
        <v>261</v>
      </c>
      <c r="FMA82">
        <v>54018</v>
      </c>
      <c r="FMB82">
        <v>0</v>
      </c>
      <c r="FMC82">
        <v>7076358</v>
      </c>
      <c r="FMD82" t="s">
        <v>262</v>
      </c>
      <c r="FME82" t="s">
        <v>196</v>
      </c>
      <c r="FMF82">
        <v>53248</v>
      </c>
      <c r="FMG82" t="s">
        <v>260</v>
      </c>
      <c r="FMH82">
        <v>44048</v>
      </c>
      <c r="FMI82">
        <v>44048</v>
      </c>
      <c r="FMJ82">
        <v>7076358</v>
      </c>
      <c r="FMK82">
        <v>0</v>
      </c>
      <c r="FML82" t="s">
        <v>254</v>
      </c>
      <c r="FMM82">
        <v>830037946</v>
      </c>
      <c r="FMN82" t="s">
        <v>260</v>
      </c>
      <c r="FMO82">
        <v>131</v>
      </c>
      <c r="FMP82" t="s">
        <v>261</v>
      </c>
      <c r="FMQ82">
        <v>54018</v>
      </c>
      <c r="FMR82">
        <v>0</v>
      </c>
      <c r="FMS82">
        <v>7076358</v>
      </c>
      <c r="FMT82" t="s">
        <v>262</v>
      </c>
      <c r="FMU82" t="s">
        <v>196</v>
      </c>
      <c r="FMV82">
        <v>53248</v>
      </c>
      <c r="FMW82" t="s">
        <v>260</v>
      </c>
      <c r="FMX82">
        <v>44048</v>
      </c>
      <c r="FMY82">
        <v>44048</v>
      </c>
      <c r="FMZ82">
        <v>7076358</v>
      </c>
      <c r="FNA82">
        <v>0</v>
      </c>
      <c r="FNB82" t="s">
        <v>254</v>
      </c>
      <c r="FNC82">
        <v>830037946</v>
      </c>
      <c r="FND82" t="s">
        <v>260</v>
      </c>
      <c r="FNE82">
        <v>131</v>
      </c>
      <c r="FNF82" t="s">
        <v>261</v>
      </c>
      <c r="FNG82">
        <v>54018</v>
      </c>
      <c r="FNH82">
        <v>0</v>
      </c>
      <c r="FNI82">
        <v>7076358</v>
      </c>
      <c r="FNJ82" t="s">
        <v>262</v>
      </c>
      <c r="FNK82" t="s">
        <v>196</v>
      </c>
      <c r="FNL82">
        <v>53248</v>
      </c>
      <c r="FNM82" t="s">
        <v>260</v>
      </c>
      <c r="FNN82">
        <v>44048</v>
      </c>
      <c r="FNO82">
        <v>44048</v>
      </c>
      <c r="FNP82">
        <v>7076358</v>
      </c>
      <c r="FNQ82">
        <v>0</v>
      </c>
      <c r="FNR82" t="s">
        <v>254</v>
      </c>
      <c r="FNS82">
        <v>830037946</v>
      </c>
      <c r="FNT82" t="s">
        <v>260</v>
      </c>
      <c r="FNU82">
        <v>131</v>
      </c>
      <c r="FNV82" t="s">
        <v>261</v>
      </c>
      <c r="FNW82">
        <v>54018</v>
      </c>
      <c r="FNX82">
        <v>0</v>
      </c>
      <c r="FNY82">
        <v>7076358</v>
      </c>
      <c r="FNZ82" t="s">
        <v>262</v>
      </c>
      <c r="FOA82" t="s">
        <v>196</v>
      </c>
      <c r="FOB82">
        <v>53248</v>
      </c>
      <c r="FOC82" t="s">
        <v>260</v>
      </c>
      <c r="FOD82">
        <v>44048</v>
      </c>
      <c r="FOE82">
        <v>44048</v>
      </c>
      <c r="FOF82">
        <v>7076358</v>
      </c>
      <c r="FOG82">
        <v>0</v>
      </c>
      <c r="FOH82" t="s">
        <v>254</v>
      </c>
      <c r="FOI82">
        <v>830037946</v>
      </c>
      <c r="FOJ82" t="s">
        <v>260</v>
      </c>
      <c r="FOK82">
        <v>131</v>
      </c>
      <c r="FOL82" t="s">
        <v>261</v>
      </c>
      <c r="FOM82">
        <v>54018</v>
      </c>
      <c r="FON82">
        <v>0</v>
      </c>
      <c r="FOO82">
        <v>7076358</v>
      </c>
      <c r="FOP82" t="s">
        <v>262</v>
      </c>
      <c r="FOQ82" t="s">
        <v>196</v>
      </c>
      <c r="FOR82">
        <v>53248</v>
      </c>
      <c r="FOS82" t="s">
        <v>260</v>
      </c>
      <c r="FOT82">
        <v>44048</v>
      </c>
      <c r="FOU82">
        <v>44048</v>
      </c>
      <c r="FOV82">
        <v>7076358</v>
      </c>
      <c r="FOW82">
        <v>0</v>
      </c>
      <c r="FOX82" t="s">
        <v>254</v>
      </c>
      <c r="FOY82">
        <v>830037946</v>
      </c>
      <c r="FOZ82" t="s">
        <v>260</v>
      </c>
      <c r="FPA82">
        <v>131</v>
      </c>
      <c r="FPB82" t="s">
        <v>261</v>
      </c>
      <c r="FPC82">
        <v>54018</v>
      </c>
      <c r="FPD82">
        <v>0</v>
      </c>
      <c r="FPE82">
        <v>7076358</v>
      </c>
      <c r="FPF82" t="s">
        <v>262</v>
      </c>
      <c r="FPG82" t="s">
        <v>196</v>
      </c>
      <c r="FPH82">
        <v>53248</v>
      </c>
      <c r="FPI82" t="s">
        <v>260</v>
      </c>
      <c r="FPJ82">
        <v>44048</v>
      </c>
      <c r="FPK82">
        <v>44048</v>
      </c>
      <c r="FPL82">
        <v>7076358</v>
      </c>
      <c r="FPM82">
        <v>0</v>
      </c>
      <c r="FPN82" t="s">
        <v>254</v>
      </c>
      <c r="FPO82">
        <v>830037946</v>
      </c>
      <c r="FPP82" t="s">
        <v>260</v>
      </c>
      <c r="FPQ82">
        <v>131</v>
      </c>
      <c r="FPR82" t="s">
        <v>261</v>
      </c>
      <c r="FPS82">
        <v>54018</v>
      </c>
      <c r="FPT82">
        <v>0</v>
      </c>
      <c r="FPU82">
        <v>7076358</v>
      </c>
      <c r="FPV82" t="s">
        <v>262</v>
      </c>
      <c r="FPW82" t="s">
        <v>196</v>
      </c>
      <c r="FPX82">
        <v>53248</v>
      </c>
      <c r="FPY82" t="s">
        <v>260</v>
      </c>
      <c r="FPZ82">
        <v>44048</v>
      </c>
      <c r="FQA82">
        <v>44048</v>
      </c>
      <c r="FQB82">
        <v>7076358</v>
      </c>
      <c r="FQC82">
        <v>0</v>
      </c>
      <c r="FQD82" t="s">
        <v>254</v>
      </c>
      <c r="FQE82">
        <v>830037946</v>
      </c>
      <c r="FQF82" t="s">
        <v>260</v>
      </c>
      <c r="FQG82">
        <v>131</v>
      </c>
      <c r="FQH82" t="s">
        <v>261</v>
      </c>
      <c r="FQI82">
        <v>54018</v>
      </c>
      <c r="FQJ82">
        <v>0</v>
      </c>
      <c r="FQK82">
        <v>7076358</v>
      </c>
      <c r="FQL82" t="s">
        <v>262</v>
      </c>
      <c r="FQM82" t="s">
        <v>196</v>
      </c>
      <c r="FQN82">
        <v>53248</v>
      </c>
      <c r="FQO82" t="s">
        <v>260</v>
      </c>
      <c r="FQP82">
        <v>44048</v>
      </c>
      <c r="FQQ82">
        <v>44048</v>
      </c>
      <c r="FQR82">
        <v>7076358</v>
      </c>
      <c r="FQS82">
        <v>0</v>
      </c>
      <c r="FQT82" t="s">
        <v>254</v>
      </c>
      <c r="FQU82">
        <v>830037946</v>
      </c>
      <c r="FQV82" t="s">
        <v>260</v>
      </c>
      <c r="FQW82">
        <v>131</v>
      </c>
      <c r="FQX82" t="s">
        <v>261</v>
      </c>
      <c r="FQY82">
        <v>54018</v>
      </c>
      <c r="FQZ82">
        <v>0</v>
      </c>
      <c r="FRA82">
        <v>7076358</v>
      </c>
      <c r="FRB82" t="s">
        <v>262</v>
      </c>
      <c r="FRC82" t="s">
        <v>196</v>
      </c>
      <c r="FRD82">
        <v>53248</v>
      </c>
      <c r="FRE82" t="s">
        <v>260</v>
      </c>
      <c r="FRF82">
        <v>44048</v>
      </c>
      <c r="FRG82">
        <v>44048</v>
      </c>
      <c r="FRH82">
        <v>7076358</v>
      </c>
      <c r="FRI82">
        <v>0</v>
      </c>
      <c r="FRJ82" t="s">
        <v>254</v>
      </c>
      <c r="FRK82">
        <v>830037946</v>
      </c>
      <c r="FRL82" t="s">
        <v>260</v>
      </c>
      <c r="FRM82">
        <v>131</v>
      </c>
      <c r="FRN82" t="s">
        <v>261</v>
      </c>
      <c r="FRO82">
        <v>54018</v>
      </c>
      <c r="FRP82">
        <v>0</v>
      </c>
      <c r="FRQ82">
        <v>7076358</v>
      </c>
      <c r="FRR82" t="s">
        <v>262</v>
      </c>
      <c r="FRS82" t="s">
        <v>196</v>
      </c>
      <c r="FRT82">
        <v>53248</v>
      </c>
      <c r="FRU82" t="s">
        <v>260</v>
      </c>
      <c r="FRV82">
        <v>44048</v>
      </c>
      <c r="FRW82">
        <v>44048</v>
      </c>
      <c r="FRX82">
        <v>7076358</v>
      </c>
      <c r="FRY82">
        <v>0</v>
      </c>
      <c r="FRZ82" t="s">
        <v>254</v>
      </c>
      <c r="FSA82">
        <v>830037946</v>
      </c>
      <c r="FSB82" t="s">
        <v>260</v>
      </c>
      <c r="FSC82">
        <v>131</v>
      </c>
      <c r="FSD82" t="s">
        <v>261</v>
      </c>
      <c r="FSE82">
        <v>54018</v>
      </c>
      <c r="FSF82">
        <v>0</v>
      </c>
      <c r="FSG82">
        <v>7076358</v>
      </c>
      <c r="FSH82" t="s">
        <v>262</v>
      </c>
      <c r="FSI82" t="s">
        <v>196</v>
      </c>
      <c r="FSJ82">
        <v>53248</v>
      </c>
      <c r="FSK82" t="s">
        <v>260</v>
      </c>
      <c r="FSL82">
        <v>44048</v>
      </c>
      <c r="FSM82">
        <v>44048</v>
      </c>
      <c r="FSN82">
        <v>7076358</v>
      </c>
      <c r="FSO82">
        <v>0</v>
      </c>
      <c r="FSP82" t="s">
        <v>254</v>
      </c>
      <c r="FSQ82">
        <v>830037946</v>
      </c>
      <c r="FSR82" t="s">
        <v>260</v>
      </c>
      <c r="FSS82">
        <v>131</v>
      </c>
      <c r="FST82" t="s">
        <v>261</v>
      </c>
      <c r="FSU82">
        <v>54018</v>
      </c>
      <c r="FSV82">
        <v>0</v>
      </c>
      <c r="FSW82">
        <v>7076358</v>
      </c>
      <c r="FSX82" t="s">
        <v>262</v>
      </c>
      <c r="FSY82" t="s">
        <v>196</v>
      </c>
      <c r="FSZ82">
        <v>53248</v>
      </c>
      <c r="FTA82" t="s">
        <v>260</v>
      </c>
      <c r="FTB82">
        <v>44048</v>
      </c>
      <c r="FTC82">
        <v>44048</v>
      </c>
      <c r="FTD82">
        <v>7076358</v>
      </c>
      <c r="FTE82">
        <v>0</v>
      </c>
      <c r="FTF82" t="s">
        <v>254</v>
      </c>
      <c r="FTG82">
        <v>830037946</v>
      </c>
      <c r="FTH82" t="s">
        <v>260</v>
      </c>
      <c r="FTI82">
        <v>131</v>
      </c>
      <c r="FTJ82" t="s">
        <v>261</v>
      </c>
      <c r="FTK82">
        <v>54018</v>
      </c>
      <c r="FTL82">
        <v>0</v>
      </c>
      <c r="FTM82">
        <v>7076358</v>
      </c>
      <c r="FTN82" t="s">
        <v>262</v>
      </c>
      <c r="FTO82" t="s">
        <v>196</v>
      </c>
      <c r="FTP82">
        <v>53248</v>
      </c>
      <c r="FTQ82" t="s">
        <v>260</v>
      </c>
      <c r="FTR82">
        <v>44048</v>
      </c>
      <c r="FTS82">
        <v>44048</v>
      </c>
      <c r="FTT82">
        <v>7076358</v>
      </c>
      <c r="FTU82">
        <v>0</v>
      </c>
      <c r="FTV82" t="s">
        <v>254</v>
      </c>
      <c r="FTW82">
        <v>830037946</v>
      </c>
      <c r="FTX82" t="s">
        <v>260</v>
      </c>
      <c r="FTY82">
        <v>131</v>
      </c>
      <c r="FTZ82" t="s">
        <v>261</v>
      </c>
      <c r="FUA82">
        <v>54018</v>
      </c>
      <c r="FUB82">
        <v>0</v>
      </c>
      <c r="FUC82">
        <v>7076358</v>
      </c>
      <c r="FUD82" t="s">
        <v>262</v>
      </c>
      <c r="FUE82" t="s">
        <v>196</v>
      </c>
      <c r="FUF82">
        <v>53248</v>
      </c>
      <c r="FUG82" t="s">
        <v>260</v>
      </c>
      <c r="FUH82">
        <v>44048</v>
      </c>
      <c r="FUI82">
        <v>44048</v>
      </c>
      <c r="FUJ82">
        <v>7076358</v>
      </c>
      <c r="FUK82">
        <v>0</v>
      </c>
      <c r="FUL82" t="s">
        <v>254</v>
      </c>
      <c r="FUM82">
        <v>830037946</v>
      </c>
      <c r="FUN82" t="s">
        <v>260</v>
      </c>
      <c r="FUO82">
        <v>131</v>
      </c>
      <c r="FUP82" t="s">
        <v>261</v>
      </c>
      <c r="FUQ82">
        <v>54018</v>
      </c>
      <c r="FUR82">
        <v>0</v>
      </c>
      <c r="FUS82">
        <v>7076358</v>
      </c>
      <c r="FUT82" t="s">
        <v>262</v>
      </c>
      <c r="FUU82" t="s">
        <v>196</v>
      </c>
      <c r="FUV82">
        <v>53248</v>
      </c>
      <c r="FUW82" t="s">
        <v>260</v>
      </c>
      <c r="FUX82">
        <v>44048</v>
      </c>
      <c r="FUY82">
        <v>44048</v>
      </c>
      <c r="FUZ82">
        <v>7076358</v>
      </c>
      <c r="FVA82">
        <v>0</v>
      </c>
      <c r="FVB82" t="s">
        <v>254</v>
      </c>
      <c r="FVC82">
        <v>830037946</v>
      </c>
      <c r="FVD82" t="s">
        <v>260</v>
      </c>
      <c r="FVE82">
        <v>131</v>
      </c>
      <c r="FVF82" t="s">
        <v>261</v>
      </c>
      <c r="FVG82">
        <v>54018</v>
      </c>
      <c r="FVH82">
        <v>0</v>
      </c>
      <c r="FVI82">
        <v>7076358</v>
      </c>
      <c r="FVJ82" t="s">
        <v>262</v>
      </c>
      <c r="FVK82" t="s">
        <v>196</v>
      </c>
      <c r="FVL82">
        <v>53248</v>
      </c>
      <c r="FVM82" t="s">
        <v>260</v>
      </c>
      <c r="FVN82">
        <v>44048</v>
      </c>
      <c r="FVO82">
        <v>44048</v>
      </c>
      <c r="FVP82">
        <v>7076358</v>
      </c>
      <c r="FVQ82">
        <v>0</v>
      </c>
      <c r="FVR82" t="s">
        <v>254</v>
      </c>
      <c r="FVS82">
        <v>830037946</v>
      </c>
      <c r="FVT82" t="s">
        <v>260</v>
      </c>
      <c r="FVU82">
        <v>131</v>
      </c>
      <c r="FVV82" t="s">
        <v>261</v>
      </c>
      <c r="FVW82">
        <v>54018</v>
      </c>
      <c r="FVX82">
        <v>0</v>
      </c>
      <c r="FVY82">
        <v>7076358</v>
      </c>
      <c r="FVZ82" t="s">
        <v>262</v>
      </c>
      <c r="FWA82" t="s">
        <v>196</v>
      </c>
      <c r="FWB82">
        <v>53248</v>
      </c>
      <c r="FWC82" t="s">
        <v>260</v>
      </c>
      <c r="FWD82">
        <v>44048</v>
      </c>
      <c r="FWE82">
        <v>44048</v>
      </c>
      <c r="FWF82">
        <v>7076358</v>
      </c>
      <c r="FWG82">
        <v>0</v>
      </c>
      <c r="FWH82" t="s">
        <v>254</v>
      </c>
      <c r="FWI82">
        <v>830037946</v>
      </c>
      <c r="FWJ82" t="s">
        <v>260</v>
      </c>
      <c r="FWK82">
        <v>131</v>
      </c>
      <c r="FWL82" t="s">
        <v>261</v>
      </c>
      <c r="FWM82">
        <v>54018</v>
      </c>
      <c r="FWN82">
        <v>0</v>
      </c>
      <c r="FWO82">
        <v>7076358</v>
      </c>
      <c r="FWP82" t="s">
        <v>262</v>
      </c>
      <c r="FWQ82" t="s">
        <v>196</v>
      </c>
      <c r="FWR82">
        <v>53248</v>
      </c>
      <c r="FWS82" t="s">
        <v>260</v>
      </c>
      <c r="FWT82">
        <v>44048</v>
      </c>
      <c r="FWU82">
        <v>44048</v>
      </c>
      <c r="FWV82">
        <v>7076358</v>
      </c>
      <c r="FWW82">
        <v>0</v>
      </c>
      <c r="FWX82" t="s">
        <v>254</v>
      </c>
      <c r="FWY82">
        <v>830037946</v>
      </c>
      <c r="FWZ82" t="s">
        <v>260</v>
      </c>
      <c r="FXA82">
        <v>131</v>
      </c>
      <c r="FXB82" t="s">
        <v>261</v>
      </c>
      <c r="FXC82">
        <v>54018</v>
      </c>
      <c r="FXD82">
        <v>0</v>
      </c>
      <c r="FXE82">
        <v>7076358</v>
      </c>
      <c r="FXF82" t="s">
        <v>262</v>
      </c>
      <c r="FXG82" t="s">
        <v>196</v>
      </c>
      <c r="FXH82">
        <v>53248</v>
      </c>
      <c r="FXI82" t="s">
        <v>260</v>
      </c>
      <c r="FXJ82">
        <v>44048</v>
      </c>
      <c r="FXK82">
        <v>44048</v>
      </c>
      <c r="FXL82">
        <v>7076358</v>
      </c>
      <c r="FXM82">
        <v>0</v>
      </c>
      <c r="FXN82" t="s">
        <v>254</v>
      </c>
      <c r="FXO82">
        <v>830037946</v>
      </c>
      <c r="FXP82" t="s">
        <v>260</v>
      </c>
      <c r="FXQ82">
        <v>131</v>
      </c>
      <c r="FXR82" t="s">
        <v>261</v>
      </c>
      <c r="FXS82">
        <v>54018</v>
      </c>
      <c r="FXT82">
        <v>0</v>
      </c>
      <c r="FXU82">
        <v>7076358</v>
      </c>
      <c r="FXV82" t="s">
        <v>262</v>
      </c>
      <c r="FXW82" t="s">
        <v>196</v>
      </c>
      <c r="FXX82">
        <v>53248</v>
      </c>
      <c r="FXY82" t="s">
        <v>260</v>
      </c>
      <c r="FXZ82">
        <v>44048</v>
      </c>
      <c r="FYA82">
        <v>44048</v>
      </c>
      <c r="FYB82">
        <v>7076358</v>
      </c>
      <c r="FYC82">
        <v>0</v>
      </c>
      <c r="FYD82" t="s">
        <v>254</v>
      </c>
      <c r="FYE82">
        <v>830037946</v>
      </c>
      <c r="FYF82" t="s">
        <v>260</v>
      </c>
      <c r="FYG82">
        <v>131</v>
      </c>
      <c r="FYH82" t="s">
        <v>261</v>
      </c>
      <c r="FYI82">
        <v>54018</v>
      </c>
      <c r="FYJ82">
        <v>0</v>
      </c>
      <c r="FYK82">
        <v>7076358</v>
      </c>
      <c r="FYL82" t="s">
        <v>262</v>
      </c>
      <c r="FYM82" t="s">
        <v>196</v>
      </c>
      <c r="FYN82">
        <v>53248</v>
      </c>
      <c r="FYO82" t="s">
        <v>260</v>
      </c>
      <c r="FYP82">
        <v>44048</v>
      </c>
      <c r="FYQ82">
        <v>44048</v>
      </c>
      <c r="FYR82">
        <v>7076358</v>
      </c>
      <c r="FYS82">
        <v>0</v>
      </c>
      <c r="FYT82" t="s">
        <v>254</v>
      </c>
      <c r="FYU82">
        <v>830037946</v>
      </c>
      <c r="FYV82" t="s">
        <v>260</v>
      </c>
      <c r="FYW82">
        <v>131</v>
      </c>
      <c r="FYX82" t="s">
        <v>261</v>
      </c>
      <c r="FYY82">
        <v>54018</v>
      </c>
      <c r="FYZ82">
        <v>0</v>
      </c>
      <c r="FZA82">
        <v>7076358</v>
      </c>
      <c r="FZB82" t="s">
        <v>262</v>
      </c>
      <c r="FZC82" t="s">
        <v>196</v>
      </c>
      <c r="FZD82">
        <v>53248</v>
      </c>
      <c r="FZE82" t="s">
        <v>260</v>
      </c>
      <c r="FZF82">
        <v>44048</v>
      </c>
      <c r="FZG82">
        <v>44048</v>
      </c>
      <c r="FZH82">
        <v>7076358</v>
      </c>
      <c r="FZI82">
        <v>0</v>
      </c>
      <c r="FZJ82" t="s">
        <v>254</v>
      </c>
      <c r="FZK82">
        <v>830037946</v>
      </c>
      <c r="FZL82" t="s">
        <v>260</v>
      </c>
      <c r="FZM82">
        <v>131</v>
      </c>
      <c r="FZN82" t="s">
        <v>261</v>
      </c>
      <c r="FZO82">
        <v>54018</v>
      </c>
      <c r="FZP82">
        <v>0</v>
      </c>
      <c r="FZQ82">
        <v>7076358</v>
      </c>
      <c r="FZR82" t="s">
        <v>262</v>
      </c>
      <c r="FZS82" t="s">
        <v>196</v>
      </c>
      <c r="FZT82">
        <v>53248</v>
      </c>
      <c r="FZU82" t="s">
        <v>260</v>
      </c>
      <c r="FZV82">
        <v>44048</v>
      </c>
      <c r="FZW82">
        <v>44048</v>
      </c>
      <c r="FZX82">
        <v>7076358</v>
      </c>
      <c r="FZY82">
        <v>0</v>
      </c>
      <c r="FZZ82" t="s">
        <v>254</v>
      </c>
      <c r="GAA82">
        <v>830037946</v>
      </c>
      <c r="GAB82" t="s">
        <v>260</v>
      </c>
      <c r="GAC82">
        <v>131</v>
      </c>
      <c r="GAD82" t="s">
        <v>261</v>
      </c>
      <c r="GAE82">
        <v>54018</v>
      </c>
      <c r="GAF82">
        <v>0</v>
      </c>
      <c r="GAG82">
        <v>7076358</v>
      </c>
      <c r="GAH82" t="s">
        <v>262</v>
      </c>
      <c r="GAI82" t="s">
        <v>196</v>
      </c>
      <c r="GAJ82">
        <v>53248</v>
      </c>
      <c r="GAK82" t="s">
        <v>260</v>
      </c>
      <c r="GAL82">
        <v>44048</v>
      </c>
      <c r="GAM82">
        <v>44048</v>
      </c>
      <c r="GAN82">
        <v>7076358</v>
      </c>
      <c r="GAO82">
        <v>0</v>
      </c>
      <c r="GAP82" t="s">
        <v>254</v>
      </c>
      <c r="GAQ82">
        <v>830037946</v>
      </c>
      <c r="GAR82" t="s">
        <v>260</v>
      </c>
      <c r="GAS82">
        <v>131</v>
      </c>
      <c r="GAT82" t="s">
        <v>261</v>
      </c>
      <c r="GAU82">
        <v>54018</v>
      </c>
      <c r="GAV82">
        <v>0</v>
      </c>
      <c r="GAW82">
        <v>7076358</v>
      </c>
      <c r="GAX82" t="s">
        <v>262</v>
      </c>
      <c r="GAY82" t="s">
        <v>196</v>
      </c>
      <c r="GAZ82">
        <v>53248</v>
      </c>
      <c r="GBA82" t="s">
        <v>260</v>
      </c>
      <c r="GBB82">
        <v>44048</v>
      </c>
      <c r="GBC82">
        <v>44048</v>
      </c>
      <c r="GBD82">
        <v>7076358</v>
      </c>
      <c r="GBE82">
        <v>0</v>
      </c>
      <c r="GBF82" t="s">
        <v>254</v>
      </c>
      <c r="GBG82">
        <v>830037946</v>
      </c>
      <c r="GBH82" t="s">
        <v>260</v>
      </c>
      <c r="GBI82">
        <v>131</v>
      </c>
      <c r="GBJ82" t="s">
        <v>261</v>
      </c>
      <c r="GBK82">
        <v>54018</v>
      </c>
      <c r="GBL82">
        <v>0</v>
      </c>
      <c r="GBM82">
        <v>7076358</v>
      </c>
      <c r="GBN82" t="s">
        <v>262</v>
      </c>
      <c r="GBO82" t="s">
        <v>196</v>
      </c>
      <c r="GBP82">
        <v>53248</v>
      </c>
      <c r="GBQ82" t="s">
        <v>260</v>
      </c>
      <c r="GBR82">
        <v>44048</v>
      </c>
      <c r="GBS82">
        <v>44048</v>
      </c>
      <c r="GBT82">
        <v>7076358</v>
      </c>
      <c r="GBU82">
        <v>0</v>
      </c>
      <c r="GBV82" t="s">
        <v>254</v>
      </c>
      <c r="GBW82">
        <v>830037946</v>
      </c>
      <c r="GBX82" t="s">
        <v>260</v>
      </c>
      <c r="GBY82">
        <v>131</v>
      </c>
      <c r="GBZ82" t="s">
        <v>261</v>
      </c>
      <c r="GCA82">
        <v>54018</v>
      </c>
      <c r="GCB82">
        <v>0</v>
      </c>
      <c r="GCC82">
        <v>7076358</v>
      </c>
      <c r="GCD82" t="s">
        <v>262</v>
      </c>
      <c r="GCE82" t="s">
        <v>196</v>
      </c>
      <c r="GCF82">
        <v>53248</v>
      </c>
      <c r="GCG82" t="s">
        <v>260</v>
      </c>
      <c r="GCH82">
        <v>44048</v>
      </c>
      <c r="GCI82">
        <v>44048</v>
      </c>
      <c r="GCJ82">
        <v>7076358</v>
      </c>
      <c r="GCK82">
        <v>0</v>
      </c>
      <c r="GCL82" t="s">
        <v>254</v>
      </c>
      <c r="GCM82">
        <v>830037946</v>
      </c>
      <c r="GCN82" t="s">
        <v>260</v>
      </c>
      <c r="GCO82">
        <v>131</v>
      </c>
      <c r="GCP82" t="s">
        <v>261</v>
      </c>
      <c r="GCQ82">
        <v>54018</v>
      </c>
      <c r="GCR82">
        <v>0</v>
      </c>
      <c r="GCS82">
        <v>7076358</v>
      </c>
      <c r="GCT82" t="s">
        <v>262</v>
      </c>
      <c r="GCU82" t="s">
        <v>196</v>
      </c>
      <c r="GCV82">
        <v>53248</v>
      </c>
      <c r="GCW82" t="s">
        <v>260</v>
      </c>
      <c r="GCX82">
        <v>44048</v>
      </c>
      <c r="GCY82">
        <v>44048</v>
      </c>
      <c r="GCZ82">
        <v>7076358</v>
      </c>
      <c r="GDA82">
        <v>0</v>
      </c>
      <c r="GDB82" t="s">
        <v>254</v>
      </c>
      <c r="GDC82">
        <v>830037946</v>
      </c>
      <c r="GDD82" t="s">
        <v>260</v>
      </c>
      <c r="GDE82">
        <v>131</v>
      </c>
      <c r="GDF82" t="s">
        <v>261</v>
      </c>
      <c r="GDG82">
        <v>54018</v>
      </c>
      <c r="GDH82">
        <v>0</v>
      </c>
      <c r="GDI82">
        <v>7076358</v>
      </c>
      <c r="GDJ82" t="s">
        <v>262</v>
      </c>
      <c r="GDK82" t="s">
        <v>196</v>
      </c>
      <c r="GDL82">
        <v>53248</v>
      </c>
      <c r="GDM82" t="s">
        <v>260</v>
      </c>
      <c r="GDN82">
        <v>44048</v>
      </c>
      <c r="GDO82">
        <v>44048</v>
      </c>
      <c r="GDP82">
        <v>7076358</v>
      </c>
      <c r="GDQ82">
        <v>0</v>
      </c>
      <c r="GDR82" t="s">
        <v>254</v>
      </c>
      <c r="GDS82">
        <v>830037946</v>
      </c>
      <c r="GDT82" t="s">
        <v>260</v>
      </c>
      <c r="GDU82">
        <v>131</v>
      </c>
      <c r="GDV82" t="s">
        <v>261</v>
      </c>
      <c r="GDW82">
        <v>54018</v>
      </c>
      <c r="GDX82">
        <v>0</v>
      </c>
      <c r="GDY82">
        <v>7076358</v>
      </c>
      <c r="GDZ82" t="s">
        <v>262</v>
      </c>
      <c r="GEA82" t="s">
        <v>196</v>
      </c>
      <c r="GEB82">
        <v>53248</v>
      </c>
      <c r="GEC82" t="s">
        <v>260</v>
      </c>
      <c r="GED82">
        <v>44048</v>
      </c>
      <c r="GEE82">
        <v>44048</v>
      </c>
      <c r="GEF82">
        <v>7076358</v>
      </c>
      <c r="GEG82">
        <v>0</v>
      </c>
      <c r="GEH82" t="s">
        <v>254</v>
      </c>
      <c r="GEI82">
        <v>830037946</v>
      </c>
      <c r="GEJ82" t="s">
        <v>260</v>
      </c>
      <c r="GEK82">
        <v>131</v>
      </c>
      <c r="GEL82" t="s">
        <v>261</v>
      </c>
      <c r="GEM82">
        <v>54018</v>
      </c>
      <c r="GEN82">
        <v>0</v>
      </c>
      <c r="GEO82">
        <v>7076358</v>
      </c>
      <c r="GEP82" t="s">
        <v>262</v>
      </c>
      <c r="GEQ82" t="s">
        <v>196</v>
      </c>
      <c r="GER82">
        <v>53248</v>
      </c>
      <c r="GES82" t="s">
        <v>260</v>
      </c>
      <c r="GET82">
        <v>44048</v>
      </c>
      <c r="GEU82">
        <v>44048</v>
      </c>
      <c r="GEV82">
        <v>7076358</v>
      </c>
      <c r="GEW82">
        <v>0</v>
      </c>
      <c r="GEX82" t="s">
        <v>254</v>
      </c>
      <c r="GEY82">
        <v>830037946</v>
      </c>
      <c r="GEZ82" t="s">
        <v>260</v>
      </c>
      <c r="GFA82">
        <v>131</v>
      </c>
      <c r="GFB82" t="s">
        <v>261</v>
      </c>
      <c r="GFC82">
        <v>54018</v>
      </c>
      <c r="GFD82">
        <v>0</v>
      </c>
      <c r="GFE82">
        <v>7076358</v>
      </c>
      <c r="GFF82" t="s">
        <v>262</v>
      </c>
      <c r="GFG82" t="s">
        <v>196</v>
      </c>
      <c r="GFH82">
        <v>53248</v>
      </c>
      <c r="GFI82" t="s">
        <v>260</v>
      </c>
      <c r="GFJ82">
        <v>44048</v>
      </c>
      <c r="GFK82">
        <v>44048</v>
      </c>
      <c r="GFL82">
        <v>7076358</v>
      </c>
      <c r="GFM82">
        <v>0</v>
      </c>
      <c r="GFN82" t="s">
        <v>254</v>
      </c>
      <c r="GFO82">
        <v>830037946</v>
      </c>
      <c r="GFP82" t="s">
        <v>260</v>
      </c>
      <c r="GFQ82">
        <v>131</v>
      </c>
      <c r="GFR82" t="s">
        <v>261</v>
      </c>
      <c r="GFS82">
        <v>54018</v>
      </c>
      <c r="GFT82">
        <v>0</v>
      </c>
      <c r="GFU82">
        <v>7076358</v>
      </c>
      <c r="GFV82" t="s">
        <v>262</v>
      </c>
      <c r="GFW82" t="s">
        <v>196</v>
      </c>
      <c r="GFX82">
        <v>53248</v>
      </c>
      <c r="GFY82" t="s">
        <v>260</v>
      </c>
      <c r="GFZ82">
        <v>44048</v>
      </c>
      <c r="GGA82">
        <v>44048</v>
      </c>
      <c r="GGB82">
        <v>7076358</v>
      </c>
      <c r="GGC82">
        <v>0</v>
      </c>
      <c r="GGD82" t="s">
        <v>254</v>
      </c>
      <c r="GGE82">
        <v>830037946</v>
      </c>
      <c r="GGF82" t="s">
        <v>260</v>
      </c>
      <c r="GGG82">
        <v>131</v>
      </c>
      <c r="GGH82" t="s">
        <v>261</v>
      </c>
      <c r="GGI82">
        <v>54018</v>
      </c>
      <c r="GGJ82">
        <v>0</v>
      </c>
      <c r="GGK82">
        <v>7076358</v>
      </c>
      <c r="GGL82" t="s">
        <v>262</v>
      </c>
      <c r="GGM82" t="s">
        <v>196</v>
      </c>
      <c r="GGN82">
        <v>53248</v>
      </c>
      <c r="GGO82" t="s">
        <v>260</v>
      </c>
      <c r="GGP82">
        <v>44048</v>
      </c>
      <c r="GGQ82">
        <v>44048</v>
      </c>
      <c r="GGR82">
        <v>7076358</v>
      </c>
      <c r="GGS82">
        <v>0</v>
      </c>
      <c r="GGT82" t="s">
        <v>254</v>
      </c>
      <c r="GGU82">
        <v>830037946</v>
      </c>
      <c r="GGV82" t="s">
        <v>260</v>
      </c>
      <c r="GGW82">
        <v>131</v>
      </c>
      <c r="GGX82" t="s">
        <v>261</v>
      </c>
      <c r="GGY82">
        <v>54018</v>
      </c>
      <c r="GGZ82">
        <v>0</v>
      </c>
      <c r="GHA82">
        <v>7076358</v>
      </c>
      <c r="GHB82" t="s">
        <v>262</v>
      </c>
      <c r="GHC82" t="s">
        <v>196</v>
      </c>
      <c r="GHD82">
        <v>53248</v>
      </c>
      <c r="GHE82" t="s">
        <v>260</v>
      </c>
      <c r="GHF82">
        <v>44048</v>
      </c>
      <c r="GHG82">
        <v>44048</v>
      </c>
      <c r="GHH82">
        <v>7076358</v>
      </c>
      <c r="GHI82">
        <v>0</v>
      </c>
      <c r="GHJ82" t="s">
        <v>254</v>
      </c>
      <c r="GHK82">
        <v>830037946</v>
      </c>
      <c r="GHL82" t="s">
        <v>260</v>
      </c>
      <c r="GHM82">
        <v>131</v>
      </c>
      <c r="GHN82" t="s">
        <v>261</v>
      </c>
      <c r="GHO82">
        <v>54018</v>
      </c>
      <c r="GHP82">
        <v>0</v>
      </c>
      <c r="GHQ82">
        <v>7076358</v>
      </c>
      <c r="GHR82" t="s">
        <v>262</v>
      </c>
      <c r="GHS82" t="s">
        <v>196</v>
      </c>
      <c r="GHT82">
        <v>53248</v>
      </c>
      <c r="GHU82" t="s">
        <v>260</v>
      </c>
      <c r="GHV82">
        <v>44048</v>
      </c>
      <c r="GHW82">
        <v>44048</v>
      </c>
      <c r="GHX82">
        <v>7076358</v>
      </c>
      <c r="GHY82">
        <v>0</v>
      </c>
      <c r="GHZ82" t="s">
        <v>254</v>
      </c>
      <c r="GIA82">
        <v>830037946</v>
      </c>
      <c r="GIB82" t="s">
        <v>260</v>
      </c>
      <c r="GIC82">
        <v>131</v>
      </c>
      <c r="GID82" t="s">
        <v>261</v>
      </c>
      <c r="GIE82">
        <v>54018</v>
      </c>
      <c r="GIF82">
        <v>0</v>
      </c>
      <c r="GIG82">
        <v>7076358</v>
      </c>
      <c r="GIH82" t="s">
        <v>262</v>
      </c>
      <c r="GII82" t="s">
        <v>196</v>
      </c>
      <c r="GIJ82">
        <v>53248</v>
      </c>
      <c r="GIK82" t="s">
        <v>260</v>
      </c>
      <c r="GIL82">
        <v>44048</v>
      </c>
      <c r="GIM82">
        <v>44048</v>
      </c>
      <c r="GIN82">
        <v>7076358</v>
      </c>
      <c r="GIO82">
        <v>0</v>
      </c>
      <c r="GIP82" t="s">
        <v>254</v>
      </c>
      <c r="GIQ82">
        <v>830037946</v>
      </c>
      <c r="GIR82" t="s">
        <v>260</v>
      </c>
      <c r="GIS82">
        <v>131</v>
      </c>
      <c r="GIT82" t="s">
        <v>261</v>
      </c>
      <c r="GIU82">
        <v>54018</v>
      </c>
      <c r="GIV82">
        <v>0</v>
      </c>
      <c r="GIW82">
        <v>7076358</v>
      </c>
      <c r="GIX82" t="s">
        <v>262</v>
      </c>
      <c r="GIY82" t="s">
        <v>196</v>
      </c>
      <c r="GIZ82">
        <v>53248</v>
      </c>
      <c r="GJA82" t="s">
        <v>260</v>
      </c>
      <c r="GJB82">
        <v>44048</v>
      </c>
      <c r="GJC82">
        <v>44048</v>
      </c>
      <c r="GJD82">
        <v>7076358</v>
      </c>
      <c r="GJE82">
        <v>0</v>
      </c>
      <c r="GJF82" t="s">
        <v>254</v>
      </c>
      <c r="GJG82">
        <v>830037946</v>
      </c>
      <c r="GJH82" t="s">
        <v>260</v>
      </c>
      <c r="GJI82">
        <v>131</v>
      </c>
      <c r="GJJ82" t="s">
        <v>261</v>
      </c>
      <c r="GJK82">
        <v>54018</v>
      </c>
      <c r="GJL82">
        <v>0</v>
      </c>
      <c r="GJM82">
        <v>7076358</v>
      </c>
      <c r="GJN82" t="s">
        <v>262</v>
      </c>
      <c r="GJO82" t="s">
        <v>196</v>
      </c>
      <c r="GJP82">
        <v>53248</v>
      </c>
      <c r="GJQ82" t="s">
        <v>260</v>
      </c>
      <c r="GJR82">
        <v>44048</v>
      </c>
      <c r="GJS82">
        <v>44048</v>
      </c>
      <c r="GJT82">
        <v>7076358</v>
      </c>
      <c r="GJU82">
        <v>0</v>
      </c>
      <c r="GJV82" t="s">
        <v>254</v>
      </c>
      <c r="GJW82">
        <v>830037946</v>
      </c>
      <c r="GJX82" t="s">
        <v>260</v>
      </c>
      <c r="GJY82">
        <v>131</v>
      </c>
      <c r="GJZ82" t="s">
        <v>261</v>
      </c>
      <c r="GKA82">
        <v>54018</v>
      </c>
      <c r="GKB82">
        <v>0</v>
      </c>
      <c r="GKC82">
        <v>7076358</v>
      </c>
      <c r="GKD82" t="s">
        <v>262</v>
      </c>
      <c r="GKE82" t="s">
        <v>196</v>
      </c>
      <c r="GKF82">
        <v>53248</v>
      </c>
      <c r="GKG82" t="s">
        <v>260</v>
      </c>
      <c r="GKH82">
        <v>44048</v>
      </c>
      <c r="GKI82">
        <v>44048</v>
      </c>
      <c r="GKJ82">
        <v>7076358</v>
      </c>
      <c r="GKK82">
        <v>0</v>
      </c>
      <c r="GKL82" t="s">
        <v>254</v>
      </c>
      <c r="GKM82">
        <v>830037946</v>
      </c>
      <c r="GKN82" t="s">
        <v>260</v>
      </c>
      <c r="GKO82">
        <v>131</v>
      </c>
      <c r="GKP82" t="s">
        <v>261</v>
      </c>
      <c r="GKQ82">
        <v>54018</v>
      </c>
      <c r="GKR82">
        <v>0</v>
      </c>
      <c r="GKS82">
        <v>7076358</v>
      </c>
      <c r="GKT82" t="s">
        <v>262</v>
      </c>
      <c r="GKU82" t="s">
        <v>196</v>
      </c>
      <c r="GKV82">
        <v>53248</v>
      </c>
      <c r="GKW82" t="s">
        <v>260</v>
      </c>
      <c r="GKX82">
        <v>44048</v>
      </c>
      <c r="GKY82">
        <v>44048</v>
      </c>
      <c r="GKZ82">
        <v>7076358</v>
      </c>
      <c r="GLA82">
        <v>0</v>
      </c>
      <c r="GLB82" t="s">
        <v>254</v>
      </c>
      <c r="GLC82">
        <v>830037946</v>
      </c>
      <c r="GLD82" t="s">
        <v>260</v>
      </c>
      <c r="GLE82">
        <v>131</v>
      </c>
      <c r="GLF82" t="s">
        <v>261</v>
      </c>
      <c r="GLG82">
        <v>54018</v>
      </c>
      <c r="GLH82">
        <v>0</v>
      </c>
      <c r="GLI82">
        <v>7076358</v>
      </c>
      <c r="GLJ82" t="s">
        <v>262</v>
      </c>
      <c r="GLK82" t="s">
        <v>196</v>
      </c>
      <c r="GLL82">
        <v>53248</v>
      </c>
      <c r="GLM82" t="s">
        <v>260</v>
      </c>
      <c r="GLN82">
        <v>44048</v>
      </c>
      <c r="GLO82">
        <v>44048</v>
      </c>
      <c r="GLP82">
        <v>7076358</v>
      </c>
      <c r="GLQ82">
        <v>0</v>
      </c>
      <c r="GLR82" t="s">
        <v>254</v>
      </c>
      <c r="GLS82">
        <v>830037946</v>
      </c>
      <c r="GLT82" t="s">
        <v>260</v>
      </c>
      <c r="GLU82">
        <v>131</v>
      </c>
      <c r="GLV82" t="s">
        <v>261</v>
      </c>
      <c r="GLW82">
        <v>54018</v>
      </c>
      <c r="GLX82">
        <v>0</v>
      </c>
      <c r="GLY82">
        <v>7076358</v>
      </c>
      <c r="GLZ82" t="s">
        <v>262</v>
      </c>
      <c r="GMA82" t="s">
        <v>196</v>
      </c>
      <c r="GMB82">
        <v>53248</v>
      </c>
      <c r="GMC82" t="s">
        <v>260</v>
      </c>
      <c r="GMD82">
        <v>44048</v>
      </c>
      <c r="GME82">
        <v>44048</v>
      </c>
      <c r="GMF82">
        <v>7076358</v>
      </c>
      <c r="GMG82">
        <v>0</v>
      </c>
      <c r="GMH82" t="s">
        <v>254</v>
      </c>
      <c r="GMI82">
        <v>830037946</v>
      </c>
      <c r="GMJ82" t="s">
        <v>260</v>
      </c>
      <c r="GMK82">
        <v>131</v>
      </c>
      <c r="GML82" t="s">
        <v>261</v>
      </c>
      <c r="GMM82">
        <v>54018</v>
      </c>
      <c r="GMN82">
        <v>0</v>
      </c>
      <c r="GMO82">
        <v>7076358</v>
      </c>
      <c r="GMP82" t="s">
        <v>262</v>
      </c>
      <c r="GMQ82" t="s">
        <v>196</v>
      </c>
      <c r="GMR82">
        <v>53248</v>
      </c>
      <c r="GMS82" t="s">
        <v>260</v>
      </c>
      <c r="GMT82">
        <v>44048</v>
      </c>
      <c r="GMU82">
        <v>44048</v>
      </c>
      <c r="GMV82">
        <v>7076358</v>
      </c>
      <c r="GMW82">
        <v>0</v>
      </c>
      <c r="GMX82" t="s">
        <v>254</v>
      </c>
      <c r="GMY82">
        <v>830037946</v>
      </c>
      <c r="GMZ82" t="s">
        <v>260</v>
      </c>
      <c r="GNA82">
        <v>131</v>
      </c>
      <c r="GNB82" t="s">
        <v>261</v>
      </c>
      <c r="GNC82">
        <v>54018</v>
      </c>
      <c r="GND82">
        <v>0</v>
      </c>
      <c r="GNE82">
        <v>7076358</v>
      </c>
      <c r="GNF82" t="s">
        <v>262</v>
      </c>
      <c r="GNG82" t="s">
        <v>196</v>
      </c>
      <c r="GNH82">
        <v>53248</v>
      </c>
      <c r="GNI82" t="s">
        <v>260</v>
      </c>
      <c r="GNJ82">
        <v>44048</v>
      </c>
      <c r="GNK82">
        <v>44048</v>
      </c>
      <c r="GNL82">
        <v>7076358</v>
      </c>
      <c r="GNM82">
        <v>0</v>
      </c>
      <c r="GNN82" t="s">
        <v>254</v>
      </c>
      <c r="GNO82">
        <v>830037946</v>
      </c>
      <c r="GNP82" t="s">
        <v>260</v>
      </c>
      <c r="GNQ82">
        <v>131</v>
      </c>
      <c r="GNR82" t="s">
        <v>261</v>
      </c>
      <c r="GNS82">
        <v>54018</v>
      </c>
      <c r="GNT82">
        <v>0</v>
      </c>
      <c r="GNU82">
        <v>7076358</v>
      </c>
      <c r="GNV82" t="s">
        <v>262</v>
      </c>
      <c r="GNW82" t="s">
        <v>196</v>
      </c>
      <c r="GNX82">
        <v>53248</v>
      </c>
      <c r="GNY82" t="s">
        <v>260</v>
      </c>
      <c r="GNZ82">
        <v>44048</v>
      </c>
      <c r="GOA82">
        <v>44048</v>
      </c>
      <c r="GOB82">
        <v>7076358</v>
      </c>
      <c r="GOC82">
        <v>0</v>
      </c>
      <c r="GOD82" t="s">
        <v>254</v>
      </c>
      <c r="GOE82">
        <v>830037946</v>
      </c>
      <c r="GOF82" t="s">
        <v>260</v>
      </c>
      <c r="GOG82">
        <v>131</v>
      </c>
      <c r="GOH82" t="s">
        <v>261</v>
      </c>
      <c r="GOI82">
        <v>54018</v>
      </c>
      <c r="GOJ82">
        <v>0</v>
      </c>
      <c r="GOK82">
        <v>7076358</v>
      </c>
      <c r="GOL82" t="s">
        <v>262</v>
      </c>
      <c r="GOM82" t="s">
        <v>196</v>
      </c>
      <c r="GON82">
        <v>53248</v>
      </c>
      <c r="GOO82" t="s">
        <v>260</v>
      </c>
      <c r="GOP82">
        <v>44048</v>
      </c>
      <c r="GOQ82">
        <v>44048</v>
      </c>
      <c r="GOR82">
        <v>7076358</v>
      </c>
      <c r="GOS82">
        <v>0</v>
      </c>
      <c r="GOT82" t="s">
        <v>254</v>
      </c>
      <c r="GOU82">
        <v>830037946</v>
      </c>
      <c r="GOV82" t="s">
        <v>260</v>
      </c>
      <c r="GOW82">
        <v>131</v>
      </c>
      <c r="GOX82" t="s">
        <v>261</v>
      </c>
      <c r="GOY82">
        <v>54018</v>
      </c>
      <c r="GOZ82">
        <v>0</v>
      </c>
      <c r="GPA82">
        <v>7076358</v>
      </c>
      <c r="GPB82" t="s">
        <v>262</v>
      </c>
      <c r="GPC82" t="s">
        <v>196</v>
      </c>
      <c r="GPD82">
        <v>53248</v>
      </c>
      <c r="GPE82" t="s">
        <v>260</v>
      </c>
      <c r="GPF82">
        <v>44048</v>
      </c>
      <c r="GPG82">
        <v>44048</v>
      </c>
      <c r="GPH82">
        <v>7076358</v>
      </c>
      <c r="GPI82">
        <v>0</v>
      </c>
      <c r="GPJ82" t="s">
        <v>254</v>
      </c>
      <c r="GPK82">
        <v>830037946</v>
      </c>
      <c r="GPL82" t="s">
        <v>260</v>
      </c>
      <c r="GPM82">
        <v>131</v>
      </c>
      <c r="GPN82" t="s">
        <v>261</v>
      </c>
      <c r="GPO82">
        <v>54018</v>
      </c>
      <c r="GPP82">
        <v>0</v>
      </c>
      <c r="GPQ82">
        <v>7076358</v>
      </c>
      <c r="GPR82" t="s">
        <v>262</v>
      </c>
      <c r="GPS82" t="s">
        <v>196</v>
      </c>
      <c r="GPT82">
        <v>53248</v>
      </c>
      <c r="GPU82" t="s">
        <v>260</v>
      </c>
      <c r="GPV82">
        <v>44048</v>
      </c>
      <c r="GPW82">
        <v>44048</v>
      </c>
      <c r="GPX82">
        <v>7076358</v>
      </c>
      <c r="GPY82">
        <v>0</v>
      </c>
      <c r="GPZ82" t="s">
        <v>254</v>
      </c>
      <c r="GQA82">
        <v>830037946</v>
      </c>
      <c r="GQB82" t="s">
        <v>260</v>
      </c>
      <c r="GQC82">
        <v>131</v>
      </c>
      <c r="GQD82" t="s">
        <v>261</v>
      </c>
      <c r="GQE82">
        <v>54018</v>
      </c>
      <c r="GQF82">
        <v>0</v>
      </c>
      <c r="GQG82">
        <v>7076358</v>
      </c>
      <c r="GQH82" t="s">
        <v>262</v>
      </c>
      <c r="GQI82" t="s">
        <v>196</v>
      </c>
      <c r="GQJ82">
        <v>53248</v>
      </c>
      <c r="GQK82" t="s">
        <v>260</v>
      </c>
      <c r="GQL82">
        <v>44048</v>
      </c>
      <c r="GQM82">
        <v>44048</v>
      </c>
      <c r="GQN82">
        <v>7076358</v>
      </c>
      <c r="GQO82">
        <v>0</v>
      </c>
      <c r="GQP82" t="s">
        <v>254</v>
      </c>
      <c r="GQQ82">
        <v>830037946</v>
      </c>
      <c r="GQR82" t="s">
        <v>260</v>
      </c>
      <c r="GQS82">
        <v>131</v>
      </c>
      <c r="GQT82" t="s">
        <v>261</v>
      </c>
      <c r="GQU82">
        <v>54018</v>
      </c>
      <c r="GQV82">
        <v>0</v>
      </c>
      <c r="GQW82">
        <v>7076358</v>
      </c>
      <c r="GQX82" t="s">
        <v>262</v>
      </c>
      <c r="GQY82" t="s">
        <v>196</v>
      </c>
      <c r="GQZ82">
        <v>53248</v>
      </c>
      <c r="GRA82" t="s">
        <v>260</v>
      </c>
      <c r="GRB82">
        <v>44048</v>
      </c>
      <c r="GRC82">
        <v>44048</v>
      </c>
      <c r="GRD82">
        <v>7076358</v>
      </c>
      <c r="GRE82">
        <v>0</v>
      </c>
      <c r="GRF82" t="s">
        <v>254</v>
      </c>
      <c r="GRG82">
        <v>830037946</v>
      </c>
      <c r="GRH82" t="s">
        <v>260</v>
      </c>
      <c r="GRI82">
        <v>131</v>
      </c>
      <c r="GRJ82" t="s">
        <v>261</v>
      </c>
      <c r="GRK82">
        <v>54018</v>
      </c>
      <c r="GRL82">
        <v>0</v>
      </c>
      <c r="GRM82">
        <v>7076358</v>
      </c>
      <c r="GRN82" t="s">
        <v>262</v>
      </c>
      <c r="GRO82" t="s">
        <v>196</v>
      </c>
      <c r="GRP82">
        <v>53248</v>
      </c>
      <c r="GRQ82" t="s">
        <v>260</v>
      </c>
      <c r="GRR82">
        <v>44048</v>
      </c>
      <c r="GRS82">
        <v>44048</v>
      </c>
      <c r="GRT82">
        <v>7076358</v>
      </c>
      <c r="GRU82">
        <v>0</v>
      </c>
      <c r="GRV82" t="s">
        <v>254</v>
      </c>
      <c r="GRW82">
        <v>830037946</v>
      </c>
      <c r="GRX82" t="s">
        <v>260</v>
      </c>
      <c r="GRY82">
        <v>131</v>
      </c>
      <c r="GRZ82" t="s">
        <v>261</v>
      </c>
      <c r="GSA82">
        <v>54018</v>
      </c>
      <c r="GSB82">
        <v>0</v>
      </c>
      <c r="GSC82">
        <v>7076358</v>
      </c>
      <c r="GSD82" t="s">
        <v>262</v>
      </c>
      <c r="GSE82" t="s">
        <v>196</v>
      </c>
      <c r="GSF82">
        <v>53248</v>
      </c>
      <c r="GSG82" t="s">
        <v>260</v>
      </c>
      <c r="GSH82">
        <v>44048</v>
      </c>
      <c r="GSI82">
        <v>44048</v>
      </c>
      <c r="GSJ82">
        <v>7076358</v>
      </c>
      <c r="GSK82">
        <v>0</v>
      </c>
      <c r="GSL82" t="s">
        <v>254</v>
      </c>
      <c r="GSM82">
        <v>830037946</v>
      </c>
      <c r="GSN82" t="s">
        <v>260</v>
      </c>
      <c r="GSO82">
        <v>131</v>
      </c>
      <c r="GSP82" t="s">
        <v>261</v>
      </c>
      <c r="GSQ82">
        <v>54018</v>
      </c>
      <c r="GSR82">
        <v>0</v>
      </c>
      <c r="GSS82">
        <v>7076358</v>
      </c>
      <c r="GST82" t="s">
        <v>262</v>
      </c>
      <c r="GSU82" t="s">
        <v>196</v>
      </c>
      <c r="GSV82">
        <v>53248</v>
      </c>
      <c r="GSW82" t="s">
        <v>260</v>
      </c>
      <c r="GSX82">
        <v>44048</v>
      </c>
      <c r="GSY82">
        <v>44048</v>
      </c>
      <c r="GSZ82">
        <v>7076358</v>
      </c>
      <c r="GTA82">
        <v>0</v>
      </c>
      <c r="GTB82" t="s">
        <v>254</v>
      </c>
      <c r="GTC82">
        <v>830037946</v>
      </c>
      <c r="GTD82" t="s">
        <v>260</v>
      </c>
      <c r="GTE82">
        <v>131</v>
      </c>
      <c r="GTF82" t="s">
        <v>261</v>
      </c>
      <c r="GTG82">
        <v>54018</v>
      </c>
      <c r="GTH82">
        <v>0</v>
      </c>
      <c r="GTI82">
        <v>7076358</v>
      </c>
      <c r="GTJ82" t="s">
        <v>262</v>
      </c>
      <c r="GTK82" t="s">
        <v>196</v>
      </c>
      <c r="GTL82">
        <v>53248</v>
      </c>
      <c r="GTM82" t="s">
        <v>260</v>
      </c>
      <c r="GTN82">
        <v>44048</v>
      </c>
      <c r="GTO82">
        <v>44048</v>
      </c>
      <c r="GTP82">
        <v>7076358</v>
      </c>
      <c r="GTQ82">
        <v>0</v>
      </c>
      <c r="GTR82" t="s">
        <v>254</v>
      </c>
      <c r="GTS82">
        <v>830037946</v>
      </c>
      <c r="GTT82" t="s">
        <v>260</v>
      </c>
      <c r="GTU82">
        <v>131</v>
      </c>
      <c r="GTV82" t="s">
        <v>261</v>
      </c>
      <c r="GTW82">
        <v>54018</v>
      </c>
      <c r="GTX82">
        <v>0</v>
      </c>
      <c r="GTY82">
        <v>7076358</v>
      </c>
      <c r="GTZ82" t="s">
        <v>262</v>
      </c>
      <c r="GUA82" t="s">
        <v>196</v>
      </c>
      <c r="GUB82">
        <v>53248</v>
      </c>
      <c r="GUC82" t="s">
        <v>260</v>
      </c>
      <c r="GUD82">
        <v>44048</v>
      </c>
      <c r="GUE82">
        <v>44048</v>
      </c>
      <c r="GUF82">
        <v>7076358</v>
      </c>
      <c r="GUG82">
        <v>0</v>
      </c>
      <c r="GUH82" t="s">
        <v>254</v>
      </c>
      <c r="GUI82">
        <v>830037946</v>
      </c>
      <c r="GUJ82" t="s">
        <v>260</v>
      </c>
      <c r="GUK82">
        <v>131</v>
      </c>
      <c r="GUL82" t="s">
        <v>261</v>
      </c>
      <c r="GUM82">
        <v>54018</v>
      </c>
      <c r="GUN82">
        <v>0</v>
      </c>
      <c r="GUO82">
        <v>7076358</v>
      </c>
      <c r="GUP82" t="s">
        <v>262</v>
      </c>
      <c r="GUQ82" t="s">
        <v>196</v>
      </c>
      <c r="GUR82">
        <v>53248</v>
      </c>
      <c r="GUS82" t="s">
        <v>260</v>
      </c>
      <c r="GUT82">
        <v>44048</v>
      </c>
      <c r="GUU82">
        <v>44048</v>
      </c>
      <c r="GUV82">
        <v>7076358</v>
      </c>
      <c r="GUW82">
        <v>0</v>
      </c>
      <c r="GUX82" t="s">
        <v>254</v>
      </c>
      <c r="GUY82">
        <v>830037946</v>
      </c>
      <c r="GUZ82" t="s">
        <v>260</v>
      </c>
      <c r="GVA82">
        <v>131</v>
      </c>
      <c r="GVB82" t="s">
        <v>261</v>
      </c>
      <c r="GVC82">
        <v>54018</v>
      </c>
      <c r="GVD82">
        <v>0</v>
      </c>
      <c r="GVE82">
        <v>7076358</v>
      </c>
      <c r="GVF82" t="s">
        <v>262</v>
      </c>
      <c r="GVG82" t="s">
        <v>196</v>
      </c>
      <c r="GVH82">
        <v>53248</v>
      </c>
      <c r="GVI82" t="s">
        <v>260</v>
      </c>
      <c r="GVJ82">
        <v>44048</v>
      </c>
      <c r="GVK82">
        <v>44048</v>
      </c>
      <c r="GVL82">
        <v>7076358</v>
      </c>
      <c r="GVM82">
        <v>0</v>
      </c>
      <c r="GVN82" t="s">
        <v>254</v>
      </c>
      <c r="GVO82">
        <v>830037946</v>
      </c>
      <c r="GVP82" t="s">
        <v>260</v>
      </c>
      <c r="GVQ82">
        <v>131</v>
      </c>
      <c r="GVR82" t="s">
        <v>261</v>
      </c>
      <c r="GVS82">
        <v>54018</v>
      </c>
      <c r="GVT82">
        <v>0</v>
      </c>
      <c r="GVU82">
        <v>7076358</v>
      </c>
      <c r="GVV82" t="s">
        <v>262</v>
      </c>
      <c r="GVW82" t="s">
        <v>196</v>
      </c>
      <c r="GVX82">
        <v>53248</v>
      </c>
      <c r="GVY82" t="s">
        <v>260</v>
      </c>
      <c r="GVZ82">
        <v>44048</v>
      </c>
      <c r="GWA82">
        <v>44048</v>
      </c>
      <c r="GWB82">
        <v>7076358</v>
      </c>
      <c r="GWC82">
        <v>0</v>
      </c>
      <c r="GWD82" t="s">
        <v>254</v>
      </c>
      <c r="GWE82">
        <v>830037946</v>
      </c>
      <c r="GWF82" t="s">
        <v>260</v>
      </c>
      <c r="GWG82">
        <v>131</v>
      </c>
      <c r="GWH82" t="s">
        <v>261</v>
      </c>
      <c r="GWI82">
        <v>54018</v>
      </c>
      <c r="GWJ82">
        <v>0</v>
      </c>
      <c r="GWK82">
        <v>7076358</v>
      </c>
      <c r="GWL82" t="s">
        <v>262</v>
      </c>
      <c r="GWM82" t="s">
        <v>196</v>
      </c>
      <c r="GWN82">
        <v>53248</v>
      </c>
      <c r="GWO82" t="s">
        <v>260</v>
      </c>
      <c r="GWP82">
        <v>44048</v>
      </c>
      <c r="GWQ82">
        <v>44048</v>
      </c>
      <c r="GWR82">
        <v>7076358</v>
      </c>
      <c r="GWS82">
        <v>0</v>
      </c>
      <c r="GWT82" t="s">
        <v>254</v>
      </c>
      <c r="GWU82">
        <v>830037946</v>
      </c>
      <c r="GWV82" t="s">
        <v>260</v>
      </c>
      <c r="GWW82">
        <v>131</v>
      </c>
      <c r="GWX82" t="s">
        <v>261</v>
      </c>
      <c r="GWY82">
        <v>54018</v>
      </c>
      <c r="GWZ82">
        <v>0</v>
      </c>
      <c r="GXA82">
        <v>7076358</v>
      </c>
      <c r="GXB82" t="s">
        <v>262</v>
      </c>
      <c r="GXC82" t="s">
        <v>196</v>
      </c>
      <c r="GXD82">
        <v>53248</v>
      </c>
      <c r="GXE82" t="s">
        <v>260</v>
      </c>
      <c r="GXF82">
        <v>44048</v>
      </c>
      <c r="GXG82">
        <v>44048</v>
      </c>
      <c r="GXH82">
        <v>7076358</v>
      </c>
      <c r="GXI82">
        <v>0</v>
      </c>
      <c r="GXJ82" t="s">
        <v>254</v>
      </c>
      <c r="GXK82">
        <v>830037946</v>
      </c>
      <c r="GXL82" t="s">
        <v>260</v>
      </c>
      <c r="GXM82">
        <v>131</v>
      </c>
      <c r="GXN82" t="s">
        <v>261</v>
      </c>
      <c r="GXO82">
        <v>54018</v>
      </c>
      <c r="GXP82">
        <v>0</v>
      </c>
      <c r="GXQ82">
        <v>7076358</v>
      </c>
      <c r="GXR82" t="s">
        <v>262</v>
      </c>
      <c r="GXS82" t="s">
        <v>196</v>
      </c>
      <c r="GXT82">
        <v>53248</v>
      </c>
      <c r="GXU82" t="s">
        <v>260</v>
      </c>
      <c r="GXV82">
        <v>44048</v>
      </c>
      <c r="GXW82">
        <v>44048</v>
      </c>
      <c r="GXX82">
        <v>7076358</v>
      </c>
      <c r="GXY82">
        <v>0</v>
      </c>
      <c r="GXZ82" t="s">
        <v>254</v>
      </c>
      <c r="GYA82">
        <v>830037946</v>
      </c>
      <c r="GYB82" t="s">
        <v>260</v>
      </c>
      <c r="GYC82">
        <v>131</v>
      </c>
      <c r="GYD82" t="s">
        <v>261</v>
      </c>
      <c r="GYE82">
        <v>54018</v>
      </c>
      <c r="GYF82">
        <v>0</v>
      </c>
      <c r="GYG82">
        <v>7076358</v>
      </c>
      <c r="GYH82" t="s">
        <v>262</v>
      </c>
      <c r="GYI82" t="s">
        <v>196</v>
      </c>
      <c r="GYJ82">
        <v>53248</v>
      </c>
      <c r="GYK82" t="s">
        <v>260</v>
      </c>
      <c r="GYL82">
        <v>44048</v>
      </c>
      <c r="GYM82">
        <v>44048</v>
      </c>
      <c r="GYN82">
        <v>7076358</v>
      </c>
      <c r="GYO82">
        <v>0</v>
      </c>
      <c r="GYP82" t="s">
        <v>254</v>
      </c>
      <c r="GYQ82">
        <v>830037946</v>
      </c>
      <c r="GYR82" t="s">
        <v>260</v>
      </c>
      <c r="GYS82">
        <v>131</v>
      </c>
      <c r="GYT82" t="s">
        <v>261</v>
      </c>
      <c r="GYU82">
        <v>54018</v>
      </c>
      <c r="GYV82">
        <v>0</v>
      </c>
      <c r="GYW82">
        <v>7076358</v>
      </c>
      <c r="GYX82" t="s">
        <v>262</v>
      </c>
      <c r="GYY82" t="s">
        <v>196</v>
      </c>
      <c r="GYZ82">
        <v>53248</v>
      </c>
      <c r="GZA82" t="s">
        <v>260</v>
      </c>
      <c r="GZB82">
        <v>44048</v>
      </c>
      <c r="GZC82">
        <v>44048</v>
      </c>
      <c r="GZD82">
        <v>7076358</v>
      </c>
      <c r="GZE82">
        <v>0</v>
      </c>
      <c r="GZF82" t="s">
        <v>254</v>
      </c>
      <c r="GZG82">
        <v>830037946</v>
      </c>
      <c r="GZH82" t="s">
        <v>260</v>
      </c>
      <c r="GZI82">
        <v>131</v>
      </c>
      <c r="GZJ82" t="s">
        <v>261</v>
      </c>
      <c r="GZK82">
        <v>54018</v>
      </c>
      <c r="GZL82">
        <v>0</v>
      </c>
      <c r="GZM82">
        <v>7076358</v>
      </c>
      <c r="GZN82" t="s">
        <v>262</v>
      </c>
      <c r="GZO82" t="s">
        <v>196</v>
      </c>
      <c r="GZP82">
        <v>53248</v>
      </c>
      <c r="GZQ82" t="s">
        <v>260</v>
      </c>
      <c r="GZR82">
        <v>44048</v>
      </c>
      <c r="GZS82">
        <v>44048</v>
      </c>
      <c r="GZT82">
        <v>7076358</v>
      </c>
      <c r="GZU82">
        <v>0</v>
      </c>
      <c r="GZV82" t="s">
        <v>254</v>
      </c>
      <c r="GZW82">
        <v>830037946</v>
      </c>
      <c r="GZX82" t="s">
        <v>260</v>
      </c>
      <c r="GZY82">
        <v>131</v>
      </c>
      <c r="GZZ82" t="s">
        <v>261</v>
      </c>
      <c r="HAA82">
        <v>54018</v>
      </c>
      <c r="HAB82">
        <v>0</v>
      </c>
      <c r="HAC82">
        <v>7076358</v>
      </c>
      <c r="HAD82" t="s">
        <v>262</v>
      </c>
      <c r="HAE82" t="s">
        <v>196</v>
      </c>
      <c r="HAF82">
        <v>53248</v>
      </c>
      <c r="HAG82" t="s">
        <v>260</v>
      </c>
      <c r="HAH82">
        <v>44048</v>
      </c>
      <c r="HAI82">
        <v>44048</v>
      </c>
      <c r="HAJ82">
        <v>7076358</v>
      </c>
      <c r="HAK82">
        <v>0</v>
      </c>
      <c r="HAL82" t="s">
        <v>254</v>
      </c>
      <c r="HAM82">
        <v>830037946</v>
      </c>
      <c r="HAN82" t="s">
        <v>260</v>
      </c>
      <c r="HAO82">
        <v>131</v>
      </c>
      <c r="HAP82" t="s">
        <v>261</v>
      </c>
      <c r="HAQ82">
        <v>54018</v>
      </c>
      <c r="HAR82">
        <v>0</v>
      </c>
      <c r="HAS82">
        <v>7076358</v>
      </c>
      <c r="HAT82" t="s">
        <v>262</v>
      </c>
      <c r="HAU82" t="s">
        <v>196</v>
      </c>
      <c r="HAV82">
        <v>53248</v>
      </c>
      <c r="HAW82" t="s">
        <v>260</v>
      </c>
      <c r="HAX82">
        <v>44048</v>
      </c>
      <c r="HAY82">
        <v>44048</v>
      </c>
      <c r="HAZ82">
        <v>7076358</v>
      </c>
      <c r="HBA82">
        <v>0</v>
      </c>
      <c r="HBB82" t="s">
        <v>254</v>
      </c>
      <c r="HBC82">
        <v>830037946</v>
      </c>
      <c r="HBD82" t="s">
        <v>260</v>
      </c>
      <c r="HBE82">
        <v>131</v>
      </c>
      <c r="HBF82" t="s">
        <v>261</v>
      </c>
      <c r="HBG82">
        <v>54018</v>
      </c>
      <c r="HBH82">
        <v>0</v>
      </c>
      <c r="HBI82">
        <v>7076358</v>
      </c>
      <c r="HBJ82" t="s">
        <v>262</v>
      </c>
      <c r="HBK82" t="s">
        <v>196</v>
      </c>
      <c r="HBL82">
        <v>53248</v>
      </c>
      <c r="HBM82" t="s">
        <v>260</v>
      </c>
      <c r="HBN82">
        <v>44048</v>
      </c>
      <c r="HBO82">
        <v>44048</v>
      </c>
      <c r="HBP82">
        <v>7076358</v>
      </c>
      <c r="HBQ82">
        <v>0</v>
      </c>
      <c r="HBR82" t="s">
        <v>254</v>
      </c>
      <c r="HBS82">
        <v>830037946</v>
      </c>
      <c r="HBT82" t="s">
        <v>260</v>
      </c>
      <c r="HBU82">
        <v>131</v>
      </c>
      <c r="HBV82" t="s">
        <v>261</v>
      </c>
      <c r="HBW82">
        <v>54018</v>
      </c>
      <c r="HBX82">
        <v>0</v>
      </c>
      <c r="HBY82">
        <v>7076358</v>
      </c>
      <c r="HBZ82" t="s">
        <v>262</v>
      </c>
      <c r="HCA82" t="s">
        <v>196</v>
      </c>
      <c r="HCB82">
        <v>53248</v>
      </c>
      <c r="HCC82" t="s">
        <v>260</v>
      </c>
      <c r="HCD82">
        <v>44048</v>
      </c>
      <c r="HCE82">
        <v>44048</v>
      </c>
      <c r="HCF82">
        <v>7076358</v>
      </c>
      <c r="HCG82">
        <v>0</v>
      </c>
      <c r="HCH82" t="s">
        <v>254</v>
      </c>
      <c r="HCI82">
        <v>830037946</v>
      </c>
      <c r="HCJ82" t="s">
        <v>260</v>
      </c>
      <c r="HCK82">
        <v>131</v>
      </c>
      <c r="HCL82" t="s">
        <v>261</v>
      </c>
      <c r="HCM82">
        <v>54018</v>
      </c>
      <c r="HCN82">
        <v>0</v>
      </c>
      <c r="HCO82">
        <v>7076358</v>
      </c>
      <c r="HCP82" t="s">
        <v>262</v>
      </c>
      <c r="HCQ82" t="s">
        <v>196</v>
      </c>
      <c r="HCR82">
        <v>53248</v>
      </c>
      <c r="HCS82" t="s">
        <v>260</v>
      </c>
      <c r="HCT82">
        <v>44048</v>
      </c>
      <c r="HCU82">
        <v>44048</v>
      </c>
      <c r="HCV82">
        <v>7076358</v>
      </c>
      <c r="HCW82">
        <v>0</v>
      </c>
      <c r="HCX82" t="s">
        <v>254</v>
      </c>
      <c r="HCY82">
        <v>830037946</v>
      </c>
      <c r="HCZ82" t="s">
        <v>260</v>
      </c>
      <c r="HDA82">
        <v>131</v>
      </c>
      <c r="HDB82" t="s">
        <v>261</v>
      </c>
      <c r="HDC82">
        <v>54018</v>
      </c>
      <c r="HDD82">
        <v>0</v>
      </c>
      <c r="HDE82">
        <v>7076358</v>
      </c>
      <c r="HDF82" t="s">
        <v>262</v>
      </c>
      <c r="HDG82" t="s">
        <v>196</v>
      </c>
      <c r="HDH82">
        <v>53248</v>
      </c>
      <c r="HDI82" t="s">
        <v>260</v>
      </c>
      <c r="HDJ82">
        <v>44048</v>
      </c>
      <c r="HDK82">
        <v>44048</v>
      </c>
      <c r="HDL82">
        <v>7076358</v>
      </c>
      <c r="HDM82">
        <v>0</v>
      </c>
      <c r="HDN82" t="s">
        <v>254</v>
      </c>
      <c r="HDO82">
        <v>830037946</v>
      </c>
      <c r="HDP82" t="s">
        <v>260</v>
      </c>
      <c r="HDQ82">
        <v>131</v>
      </c>
      <c r="HDR82" t="s">
        <v>261</v>
      </c>
      <c r="HDS82">
        <v>54018</v>
      </c>
      <c r="HDT82">
        <v>0</v>
      </c>
      <c r="HDU82">
        <v>7076358</v>
      </c>
      <c r="HDV82" t="s">
        <v>262</v>
      </c>
      <c r="HDW82" t="s">
        <v>196</v>
      </c>
      <c r="HDX82">
        <v>53248</v>
      </c>
      <c r="HDY82" t="s">
        <v>260</v>
      </c>
      <c r="HDZ82">
        <v>44048</v>
      </c>
      <c r="HEA82">
        <v>44048</v>
      </c>
      <c r="HEB82">
        <v>7076358</v>
      </c>
      <c r="HEC82">
        <v>0</v>
      </c>
      <c r="HED82" t="s">
        <v>254</v>
      </c>
      <c r="HEE82">
        <v>830037946</v>
      </c>
      <c r="HEF82" t="s">
        <v>260</v>
      </c>
      <c r="HEG82">
        <v>131</v>
      </c>
      <c r="HEH82" t="s">
        <v>261</v>
      </c>
      <c r="HEI82">
        <v>54018</v>
      </c>
      <c r="HEJ82">
        <v>0</v>
      </c>
      <c r="HEK82">
        <v>7076358</v>
      </c>
      <c r="HEL82" t="s">
        <v>262</v>
      </c>
      <c r="HEM82" t="s">
        <v>196</v>
      </c>
      <c r="HEN82">
        <v>53248</v>
      </c>
      <c r="HEO82" t="s">
        <v>260</v>
      </c>
      <c r="HEP82">
        <v>44048</v>
      </c>
      <c r="HEQ82">
        <v>44048</v>
      </c>
      <c r="HER82">
        <v>7076358</v>
      </c>
      <c r="HES82">
        <v>0</v>
      </c>
      <c r="HET82" t="s">
        <v>254</v>
      </c>
      <c r="HEU82">
        <v>830037946</v>
      </c>
      <c r="HEV82" t="s">
        <v>260</v>
      </c>
      <c r="HEW82">
        <v>131</v>
      </c>
      <c r="HEX82" t="s">
        <v>261</v>
      </c>
      <c r="HEY82">
        <v>54018</v>
      </c>
      <c r="HEZ82">
        <v>0</v>
      </c>
      <c r="HFA82">
        <v>7076358</v>
      </c>
      <c r="HFB82" t="s">
        <v>262</v>
      </c>
      <c r="HFC82" t="s">
        <v>196</v>
      </c>
      <c r="HFD82">
        <v>53248</v>
      </c>
      <c r="HFE82" t="s">
        <v>260</v>
      </c>
      <c r="HFF82">
        <v>44048</v>
      </c>
      <c r="HFG82">
        <v>44048</v>
      </c>
      <c r="HFH82">
        <v>7076358</v>
      </c>
      <c r="HFI82">
        <v>0</v>
      </c>
      <c r="HFJ82" t="s">
        <v>254</v>
      </c>
      <c r="HFK82">
        <v>830037946</v>
      </c>
      <c r="HFL82" t="s">
        <v>260</v>
      </c>
      <c r="HFM82">
        <v>131</v>
      </c>
      <c r="HFN82" t="s">
        <v>261</v>
      </c>
      <c r="HFO82">
        <v>54018</v>
      </c>
      <c r="HFP82">
        <v>0</v>
      </c>
      <c r="HFQ82">
        <v>7076358</v>
      </c>
      <c r="HFR82" t="s">
        <v>262</v>
      </c>
      <c r="HFS82" t="s">
        <v>196</v>
      </c>
      <c r="HFT82">
        <v>53248</v>
      </c>
      <c r="HFU82" t="s">
        <v>260</v>
      </c>
      <c r="HFV82">
        <v>44048</v>
      </c>
      <c r="HFW82">
        <v>44048</v>
      </c>
      <c r="HFX82">
        <v>7076358</v>
      </c>
      <c r="HFY82">
        <v>0</v>
      </c>
      <c r="HFZ82" t="s">
        <v>254</v>
      </c>
      <c r="HGA82">
        <v>830037946</v>
      </c>
      <c r="HGB82" t="s">
        <v>260</v>
      </c>
      <c r="HGC82">
        <v>131</v>
      </c>
      <c r="HGD82" t="s">
        <v>261</v>
      </c>
      <c r="HGE82">
        <v>54018</v>
      </c>
      <c r="HGF82">
        <v>0</v>
      </c>
      <c r="HGG82">
        <v>7076358</v>
      </c>
      <c r="HGH82" t="s">
        <v>262</v>
      </c>
      <c r="HGI82" t="s">
        <v>196</v>
      </c>
      <c r="HGJ82">
        <v>53248</v>
      </c>
      <c r="HGK82" t="s">
        <v>260</v>
      </c>
      <c r="HGL82">
        <v>44048</v>
      </c>
      <c r="HGM82">
        <v>44048</v>
      </c>
      <c r="HGN82">
        <v>7076358</v>
      </c>
      <c r="HGO82">
        <v>0</v>
      </c>
      <c r="HGP82" t="s">
        <v>254</v>
      </c>
      <c r="HGQ82">
        <v>830037946</v>
      </c>
      <c r="HGR82" t="s">
        <v>260</v>
      </c>
      <c r="HGS82">
        <v>131</v>
      </c>
      <c r="HGT82" t="s">
        <v>261</v>
      </c>
      <c r="HGU82">
        <v>54018</v>
      </c>
      <c r="HGV82">
        <v>0</v>
      </c>
      <c r="HGW82">
        <v>7076358</v>
      </c>
      <c r="HGX82" t="s">
        <v>262</v>
      </c>
      <c r="HGY82" t="s">
        <v>196</v>
      </c>
      <c r="HGZ82">
        <v>53248</v>
      </c>
      <c r="HHA82" t="s">
        <v>260</v>
      </c>
      <c r="HHB82">
        <v>44048</v>
      </c>
      <c r="HHC82">
        <v>44048</v>
      </c>
      <c r="HHD82">
        <v>7076358</v>
      </c>
      <c r="HHE82">
        <v>0</v>
      </c>
      <c r="HHF82" t="s">
        <v>254</v>
      </c>
      <c r="HHG82">
        <v>830037946</v>
      </c>
      <c r="HHH82" t="s">
        <v>260</v>
      </c>
      <c r="HHI82">
        <v>131</v>
      </c>
      <c r="HHJ82" t="s">
        <v>261</v>
      </c>
      <c r="HHK82">
        <v>54018</v>
      </c>
      <c r="HHL82">
        <v>0</v>
      </c>
      <c r="HHM82">
        <v>7076358</v>
      </c>
      <c r="HHN82" t="s">
        <v>262</v>
      </c>
      <c r="HHO82" t="s">
        <v>196</v>
      </c>
      <c r="HHP82">
        <v>53248</v>
      </c>
      <c r="HHQ82" t="s">
        <v>260</v>
      </c>
      <c r="HHR82">
        <v>44048</v>
      </c>
      <c r="HHS82">
        <v>44048</v>
      </c>
      <c r="HHT82">
        <v>7076358</v>
      </c>
      <c r="HHU82">
        <v>0</v>
      </c>
      <c r="HHV82" t="s">
        <v>254</v>
      </c>
      <c r="HHW82">
        <v>830037946</v>
      </c>
      <c r="HHX82" t="s">
        <v>260</v>
      </c>
      <c r="HHY82">
        <v>131</v>
      </c>
      <c r="HHZ82" t="s">
        <v>261</v>
      </c>
      <c r="HIA82">
        <v>54018</v>
      </c>
      <c r="HIB82">
        <v>0</v>
      </c>
      <c r="HIC82">
        <v>7076358</v>
      </c>
      <c r="HID82" t="s">
        <v>262</v>
      </c>
      <c r="HIE82" t="s">
        <v>196</v>
      </c>
      <c r="HIF82">
        <v>53248</v>
      </c>
      <c r="HIG82" t="s">
        <v>260</v>
      </c>
      <c r="HIH82">
        <v>44048</v>
      </c>
      <c r="HII82">
        <v>44048</v>
      </c>
      <c r="HIJ82">
        <v>7076358</v>
      </c>
      <c r="HIK82">
        <v>0</v>
      </c>
      <c r="HIL82" t="s">
        <v>254</v>
      </c>
      <c r="HIM82">
        <v>830037946</v>
      </c>
      <c r="HIN82" t="s">
        <v>260</v>
      </c>
      <c r="HIO82">
        <v>131</v>
      </c>
      <c r="HIP82" t="s">
        <v>261</v>
      </c>
      <c r="HIQ82">
        <v>54018</v>
      </c>
      <c r="HIR82">
        <v>0</v>
      </c>
      <c r="HIS82">
        <v>7076358</v>
      </c>
      <c r="HIT82" t="s">
        <v>262</v>
      </c>
      <c r="HIU82" t="s">
        <v>196</v>
      </c>
      <c r="HIV82">
        <v>53248</v>
      </c>
      <c r="HIW82" t="s">
        <v>260</v>
      </c>
      <c r="HIX82">
        <v>44048</v>
      </c>
      <c r="HIY82">
        <v>44048</v>
      </c>
      <c r="HIZ82">
        <v>7076358</v>
      </c>
      <c r="HJA82">
        <v>0</v>
      </c>
      <c r="HJB82" t="s">
        <v>254</v>
      </c>
      <c r="HJC82">
        <v>830037946</v>
      </c>
      <c r="HJD82" t="s">
        <v>260</v>
      </c>
      <c r="HJE82">
        <v>131</v>
      </c>
      <c r="HJF82" t="s">
        <v>261</v>
      </c>
      <c r="HJG82">
        <v>54018</v>
      </c>
      <c r="HJH82">
        <v>0</v>
      </c>
      <c r="HJI82">
        <v>7076358</v>
      </c>
      <c r="HJJ82" t="s">
        <v>262</v>
      </c>
      <c r="HJK82" t="s">
        <v>196</v>
      </c>
      <c r="HJL82">
        <v>53248</v>
      </c>
      <c r="HJM82" t="s">
        <v>260</v>
      </c>
      <c r="HJN82">
        <v>44048</v>
      </c>
      <c r="HJO82">
        <v>44048</v>
      </c>
      <c r="HJP82">
        <v>7076358</v>
      </c>
      <c r="HJQ82">
        <v>0</v>
      </c>
      <c r="HJR82" t="s">
        <v>254</v>
      </c>
      <c r="HJS82">
        <v>830037946</v>
      </c>
      <c r="HJT82" t="s">
        <v>260</v>
      </c>
      <c r="HJU82">
        <v>131</v>
      </c>
      <c r="HJV82" t="s">
        <v>261</v>
      </c>
      <c r="HJW82">
        <v>54018</v>
      </c>
      <c r="HJX82">
        <v>0</v>
      </c>
      <c r="HJY82">
        <v>7076358</v>
      </c>
      <c r="HJZ82" t="s">
        <v>262</v>
      </c>
      <c r="HKA82" t="s">
        <v>196</v>
      </c>
      <c r="HKB82">
        <v>53248</v>
      </c>
      <c r="HKC82" t="s">
        <v>260</v>
      </c>
      <c r="HKD82">
        <v>44048</v>
      </c>
      <c r="HKE82">
        <v>44048</v>
      </c>
      <c r="HKF82">
        <v>7076358</v>
      </c>
      <c r="HKG82">
        <v>0</v>
      </c>
      <c r="HKH82" t="s">
        <v>254</v>
      </c>
      <c r="HKI82">
        <v>830037946</v>
      </c>
      <c r="HKJ82" t="s">
        <v>260</v>
      </c>
      <c r="HKK82">
        <v>131</v>
      </c>
      <c r="HKL82" t="s">
        <v>261</v>
      </c>
      <c r="HKM82">
        <v>54018</v>
      </c>
      <c r="HKN82">
        <v>0</v>
      </c>
      <c r="HKO82">
        <v>7076358</v>
      </c>
      <c r="HKP82" t="s">
        <v>262</v>
      </c>
      <c r="HKQ82" t="s">
        <v>196</v>
      </c>
      <c r="HKR82">
        <v>53248</v>
      </c>
      <c r="HKS82" t="s">
        <v>260</v>
      </c>
      <c r="HKT82">
        <v>44048</v>
      </c>
      <c r="HKU82">
        <v>44048</v>
      </c>
      <c r="HKV82">
        <v>7076358</v>
      </c>
      <c r="HKW82">
        <v>0</v>
      </c>
      <c r="HKX82" t="s">
        <v>254</v>
      </c>
      <c r="HKY82">
        <v>830037946</v>
      </c>
      <c r="HKZ82" t="s">
        <v>260</v>
      </c>
      <c r="HLA82">
        <v>131</v>
      </c>
      <c r="HLB82" t="s">
        <v>261</v>
      </c>
      <c r="HLC82">
        <v>54018</v>
      </c>
      <c r="HLD82">
        <v>0</v>
      </c>
      <c r="HLE82">
        <v>7076358</v>
      </c>
      <c r="HLF82" t="s">
        <v>262</v>
      </c>
      <c r="HLG82" t="s">
        <v>196</v>
      </c>
      <c r="HLH82">
        <v>53248</v>
      </c>
      <c r="HLI82" t="s">
        <v>260</v>
      </c>
      <c r="HLJ82">
        <v>44048</v>
      </c>
      <c r="HLK82">
        <v>44048</v>
      </c>
      <c r="HLL82">
        <v>7076358</v>
      </c>
      <c r="HLM82">
        <v>0</v>
      </c>
      <c r="HLN82" t="s">
        <v>254</v>
      </c>
      <c r="HLO82">
        <v>830037946</v>
      </c>
      <c r="HLP82" t="s">
        <v>260</v>
      </c>
      <c r="HLQ82">
        <v>131</v>
      </c>
      <c r="HLR82" t="s">
        <v>261</v>
      </c>
      <c r="HLS82">
        <v>54018</v>
      </c>
      <c r="HLT82">
        <v>0</v>
      </c>
      <c r="HLU82">
        <v>7076358</v>
      </c>
      <c r="HLV82" t="s">
        <v>262</v>
      </c>
      <c r="HLW82" t="s">
        <v>196</v>
      </c>
      <c r="HLX82">
        <v>53248</v>
      </c>
      <c r="HLY82" t="s">
        <v>260</v>
      </c>
      <c r="HLZ82">
        <v>44048</v>
      </c>
      <c r="HMA82">
        <v>44048</v>
      </c>
      <c r="HMB82">
        <v>7076358</v>
      </c>
      <c r="HMC82">
        <v>0</v>
      </c>
      <c r="HMD82" t="s">
        <v>254</v>
      </c>
      <c r="HME82">
        <v>830037946</v>
      </c>
      <c r="HMF82" t="s">
        <v>260</v>
      </c>
      <c r="HMG82">
        <v>131</v>
      </c>
      <c r="HMH82" t="s">
        <v>261</v>
      </c>
      <c r="HMI82">
        <v>54018</v>
      </c>
      <c r="HMJ82">
        <v>0</v>
      </c>
      <c r="HMK82">
        <v>7076358</v>
      </c>
      <c r="HML82" t="s">
        <v>262</v>
      </c>
      <c r="HMM82" t="s">
        <v>196</v>
      </c>
      <c r="HMN82">
        <v>53248</v>
      </c>
      <c r="HMO82" t="s">
        <v>260</v>
      </c>
      <c r="HMP82">
        <v>44048</v>
      </c>
      <c r="HMQ82">
        <v>44048</v>
      </c>
      <c r="HMR82">
        <v>7076358</v>
      </c>
      <c r="HMS82">
        <v>0</v>
      </c>
      <c r="HMT82" t="s">
        <v>254</v>
      </c>
      <c r="HMU82">
        <v>830037946</v>
      </c>
      <c r="HMV82" t="s">
        <v>260</v>
      </c>
      <c r="HMW82">
        <v>131</v>
      </c>
      <c r="HMX82" t="s">
        <v>261</v>
      </c>
      <c r="HMY82">
        <v>54018</v>
      </c>
      <c r="HMZ82">
        <v>0</v>
      </c>
      <c r="HNA82">
        <v>7076358</v>
      </c>
      <c r="HNB82" t="s">
        <v>262</v>
      </c>
      <c r="HNC82" t="s">
        <v>196</v>
      </c>
      <c r="HND82">
        <v>53248</v>
      </c>
      <c r="HNE82" t="s">
        <v>260</v>
      </c>
      <c r="HNF82">
        <v>44048</v>
      </c>
      <c r="HNG82">
        <v>44048</v>
      </c>
      <c r="HNH82">
        <v>7076358</v>
      </c>
      <c r="HNI82">
        <v>0</v>
      </c>
      <c r="HNJ82" t="s">
        <v>254</v>
      </c>
      <c r="HNK82">
        <v>830037946</v>
      </c>
      <c r="HNL82" t="s">
        <v>260</v>
      </c>
      <c r="HNM82">
        <v>131</v>
      </c>
      <c r="HNN82" t="s">
        <v>261</v>
      </c>
      <c r="HNO82">
        <v>54018</v>
      </c>
      <c r="HNP82">
        <v>0</v>
      </c>
      <c r="HNQ82">
        <v>7076358</v>
      </c>
      <c r="HNR82" t="s">
        <v>262</v>
      </c>
      <c r="HNS82" t="s">
        <v>196</v>
      </c>
      <c r="HNT82">
        <v>53248</v>
      </c>
      <c r="HNU82" t="s">
        <v>260</v>
      </c>
      <c r="HNV82">
        <v>44048</v>
      </c>
      <c r="HNW82">
        <v>44048</v>
      </c>
      <c r="HNX82">
        <v>7076358</v>
      </c>
      <c r="HNY82">
        <v>0</v>
      </c>
      <c r="HNZ82" t="s">
        <v>254</v>
      </c>
      <c r="HOA82">
        <v>830037946</v>
      </c>
      <c r="HOB82" t="s">
        <v>260</v>
      </c>
      <c r="HOC82">
        <v>131</v>
      </c>
      <c r="HOD82" t="s">
        <v>261</v>
      </c>
      <c r="HOE82">
        <v>54018</v>
      </c>
      <c r="HOF82">
        <v>0</v>
      </c>
      <c r="HOG82">
        <v>7076358</v>
      </c>
      <c r="HOH82" t="s">
        <v>262</v>
      </c>
      <c r="HOI82" t="s">
        <v>196</v>
      </c>
      <c r="HOJ82">
        <v>53248</v>
      </c>
      <c r="HOK82" t="s">
        <v>260</v>
      </c>
      <c r="HOL82">
        <v>44048</v>
      </c>
      <c r="HOM82">
        <v>44048</v>
      </c>
      <c r="HON82">
        <v>7076358</v>
      </c>
      <c r="HOO82">
        <v>0</v>
      </c>
      <c r="HOP82" t="s">
        <v>254</v>
      </c>
      <c r="HOQ82">
        <v>830037946</v>
      </c>
      <c r="HOR82" t="s">
        <v>260</v>
      </c>
      <c r="HOS82">
        <v>131</v>
      </c>
      <c r="HOT82" t="s">
        <v>261</v>
      </c>
      <c r="HOU82">
        <v>54018</v>
      </c>
      <c r="HOV82">
        <v>0</v>
      </c>
      <c r="HOW82">
        <v>7076358</v>
      </c>
      <c r="HOX82" t="s">
        <v>262</v>
      </c>
      <c r="HOY82" t="s">
        <v>196</v>
      </c>
      <c r="HOZ82">
        <v>53248</v>
      </c>
      <c r="HPA82" t="s">
        <v>260</v>
      </c>
      <c r="HPB82">
        <v>44048</v>
      </c>
      <c r="HPC82">
        <v>44048</v>
      </c>
      <c r="HPD82">
        <v>7076358</v>
      </c>
      <c r="HPE82">
        <v>0</v>
      </c>
      <c r="HPF82" t="s">
        <v>254</v>
      </c>
      <c r="HPG82">
        <v>830037946</v>
      </c>
      <c r="HPH82" t="s">
        <v>260</v>
      </c>
      <c r="HPI82">
        <v>131</v>
      </c>
      <c r="HPJ82" t="s">
        <v>261</v>
      </c>
      <c r="HPK82">
        <v>54018</v>
      </c>
      <c r="HPL82">
        <v>0</v>
      </c>
      <c r="HPM82">
        <v>7076358</v>
      </c>
      <c r="HPN82" t="s">
        <v>262</v>
      </c>
      <c r="HPO82" t="s">
        <v>196</v>
      </c>
      <c r="HPP82">
        <v>53248</v>
      </c>
      <c r="HPQ82" t="s">
        <v>260</v>
      </c>
      <c r="HPR82">
        <v>44048</v>
      </c>
      <c r="HPS82">
        <v>44048</v>
      </c>
      <c r="HPT82">
        <v>7076358</v>
      </c>
      <c r="HPU82">
        <v>0</v>
      </c>
      <c r="HPV82" t="s">
        <v>254</v>
      </c>
      <c r="HPW82">
        <v>830037946</v>
      </c>
      <c r="HPX82" t="s">
        <v>260</v>
      </c>
      <c r="HPY82">
        <v>131</v>
      </c>
      <c r="HPZ82" t="s">
        <v>261</v>
      </c>
      <c r="HQA82">
        <v>54018</v>
      </c>
      <c r="HQB82">
        <v>0</v>
      </c>
      <c r="HQC82">
        <v>7076358</v>
      </c>
      <c r="HQD82" t="s">
        <v>262</v>
      </c>
      <c r="HQE82" t="s">
        <v>196</v>
      </c>
      <c r="HQF82">
        <v>53248</v>
      </c>
      <c r="HQG82" t="s">
        <v>260</v>
      </c>
      <c r="HQH82">
        <v>44048</v>
      </c>
      <c r="HQI82">
        <v>44048</v>
      </c>
      <c r="HQJ82">
        <v>7076358</v>
      </c>
      <c r="HQK82">
        <v>0</v>
      </c>
      <c r="HQL82" t="s">
        <v>254</v>
      </c>
      <c r="HQM82">
        <v>830037946</v>
      </c>
      <c r="HQN82" t="s">
        <v>260</v>
      </c>
      <c r="HQO82">
        <v>131</v>
      </c>
      <c r="HQP82" t="s">
        <v>261</v>
      </c>
      <c r="HQQ82">
        <v>54018</v>
      </c>
      <c r="HQR82">
        <v>0</v>
      </c>
      <c r="HQS82">
        <v>7076358</v>
      </c>
      <c r="HQT82" t="s">
        <v>262</v>
      </c>
      <c r="HQU82" t="s">
        <v>196</v>
      </c>
      <c r="HQV82">
        <v>53248</v>
      </c>
      <c r="HQW82" t="s">
        <v>260</v>
      </c>
      <c r="HQX82">
        <v>44048</v>
      </c>
      <c r="HQY82">
        <v>44048</v>
      </c>
      <c r="HQZ82">
        <v>7076358</v>
      </c>
      <c r="HRA82">
        <v>0</v>
      </c>
      <c r="HRB82" t="s">
        <v>254</v>
      </c>
      <c r="HRC82">
        <v>830037946</v>
      </c>
      <c r="HRD82" t="s">
        <v>260</v>
      </c>
      <c r="HRE82">
        <v>131</v>
      </c>
      <c r="HRF82" t="s">
        <v>261</v>
      </c>
      <c r="HRG82">
        <v>54018</v>
      </c>
      <c r="HRH82">
        <v>0</v>
      </c>
      <c r="HRI82">
        <v>7076358</v>
      </c>
      <c r="HRJ82" t="s">
        <v>262</v>
      </c>
      <c r="HRK82" t="s">
        <v>196</v>
      </c>
      <c r="HRL82">
        <v>53248</v>
      </c>
      <c r="HRM82" t="s">
        <v>260</v>
      </c>
      <c r="HRN82">
        <v>44048</v>
      </c>
      <c r="HRO82">
        <v>44048</v>
      </c>
      <c r="HRP82">
        <v>7076358</v>
      </c>
      <c r="HRQ82">
        <v>0</v>
      </c>
      <c r="HRR82" t="s">
        <v>254</v>
      </c>
      <c r="HRS82">
        <v>830037946</v>
      </c>
      <c r="HRT82" t="s">
        <v>260</v>
      </c>
      <c r="HRU82">
        <v>131</v>
      </c>
      <c r="HRV82" t="s">
        <v>261</v>
      </c>
      <c r="HRW82">
        <v>54018</v>
      </c>
      <c r="HRX82">
        <v>0</v>
      </c>
      <c r="HRY82">
        <v>7076358</v>
      </c>
      <c r="HRZ82" t="s">
        <v>262</v>
      </c>
      <c r="HSA82" t="s">
        <v>196</v>
      </c>
      <c r="HSB82">
        <v>53248</v>
      </c>
      <c r="HSC82" t="s">
        <v>260</v>
      </c>
      <c r="HSD82">
        <v>44048</v>
      </c>
      <c r="HSE82">
        <v>44048</v>
      </c>
      <c r="HSF82">
        <v>7076358</v>
      </c>
      <c r="HSG82">
        <v>0</v>
      </c>
      <c r="HSH82" t="s">
        <v>254</v>
      </c>
      <c r="HSI82">
        <v>830037946</v>
      </c>
      <c r="HSJ82" t="s">
        <v>260</v>
      </c>
      <c r="HSK82">
        <v>131</v>
      </c>
      <c r="HSL82" t="s">
        <v>261</v>
      </c>
      <c r="HSM82">
        <v>54018</v>
      </c>
      <c r="HSN82">
        <v>0</v>
      </c>
      <c r="HSO82">
        <v>7076358</v>
      </c>
      <c r="HSP82" t="s">
        <v>262</v>
      </c>
      <c r="HSQ82" t="s">
        <v>196</v>
      </c>
      <c r="HSR82">
        <v>53248</v>
      </c>
      <c r="HSS82" t="s">
        <v>260</v>
      </c>
      <c r="HST82">
        <v>44048</v>
      </c>
      <c r="HSU82">
        <v>44048</v>
      </c>
      <c r="HSV82">
        <v>7076358</v>
      </c>
      <c r="HSW82">
        <v>0</v>
      </c>
      <c r="HSX82" t="s">
        <v>254</v>
      </c>
      <c r="HSY82">
        <v>830037946</v>
      </c>
      <c r="HSZ82" t="s">
        <v>260</v>
      </c>
      <c r="HTA82">
        <v>131</v>
      </c>
      <c r="HTB82" t="s">
        <v>261</v>
      </c>
      <c r="HTC82">
        <v>54018</v>
      </c>
      <c r="HTD82">
        <v>0</v>
      </c>
      <c r="HTE82">
        <v>7076358</v>
      </c>
      <c r="HTF82" t="s">
        <v>262</v>
      </c>
      <c r="HTG82" t="s">
        <v>196</v>
      </c>
      <c r="HTH82">
        <v>53248</v>
      </c>
      <c r="HTI82" t="s">
        <v>260</v>
      </c>
      <c r="HTJ82">
        <v>44048</v>
      </c>
      <c r="HTK82">
        <v>44048</v>
      </c>
      <c r="HTL82">
        <v>7076358</v>
      </c>
      <c r="HTM82">
        <v>0</v>
      </c>
      <c r="HTN82" t="s">
        <v>254</v>
      </c>
      <c r="HTO82">
        <v>830037946</v>
      </c>
      <c r="HTP82" t="s">
        <v>260</v>
      </c>
      <c r="HTQ82">
        <v>131</v>
      </c>
      <c r="HTR82" t="s">
        <v>261</v>
      </c>
      <c r="HTS82">
        <v>54018</v>
      </c>
      <c r="HTT82">
        <v>0</v>
      </c>
      <c r="HTU82">
        <v>7076358</v>
      </c>
      <c r="HTV82" t="s">
        <v>262</v>
      </c>
      <c r="HTW82" t="s">
        <v>196</v>
      </c>
      <c r="HTX82">
        <v>53248</v>
      </c>
      <c r="HTY82" t="s">
        <v>260</v>
      </c>
      <c r="HTZ82">
        <v>44048</v>
      </c>
      <c r="HUA82">
        <v>44048</v>
      </c>
      <c r="HUB82">
        <v>7076358</v>
      </c>
      <c r="HUC82">
        <v>0</v>
      </c>
      <c r="HUD82" t="s">
        <v>254</v>
      </c>
      <c r="HUE82">
        <v>830037946</v>
      </c>
      <c r="HUF82" t="s">
        <v>260</v>
      </c>
      <c r="HUG82">
        <v>131</v>
      </c>
      <c r="HUH82" t="s">
        <v>261</v>
      </c>
      <c r="HUI82">
        <v>54018</v>
      </c>
      <c r="HUJ82">
        <v>0</v>
      </c>
      <c r="HUK82">
        <v>7076358</v>
      </c>
      <c r="HUL82" t="s">
        <v>262</v>
      </c>
      <c r="HUM82" t="s">
        <v>196</v>
      </c>
      <c r="HUN82">
        <v>53248</v>
      </c>
      <c r="HUO82" t="s">
        <v>260</v>
      </c>
      <c r="HUP82">
        <v>44048</v>
      </c>
      <c r="HUQ82">
        <v>44048</v>
      </c>
      <c r="HUR82">
        <v>7076358</v>
      </c>
      <c r="HUS82">
        <v>0</v>
      </c>
      <c r="HUT82" t="s">
        <v>254</v>
      </c>
      <c r="HUU82">
        <v>830037946</v>
      </c>
      <c r="HUV82" t="s">
        <v>260</v>
      </c>
      <c r="HUW82">
        <v>131</v>
      </c>
      <c r="HUX82" t="s">
        <v>261</v>
      </c>
      <c r="HUY82">
        <v>54018</v>
      </c>
      <c r="HUZ82">
        <v>0</v>
      </c>
      <c r="HVA82">
        <v>7076358</v>
      </c>
      <c r="HVB82" t="s">
        <v>262</v>
      </c>
      <c r="HVC82" t="s">
        <v>196</v>
      </c>
      <c r="HVD82">
        <v>53248</v>
      </c>
      <c r="HVE82" t="s">
        <v>260</v>
      </c>
      <c r="HVF82">
        <v>44048</v>
      </c>
      <c r="HVG82">
        <v>44048</v>
      </c>
      <c r="HVH82">
        <v>7076358</v>
      </c>
      <c r="HVI82">
        <v>0</v>
      </c>
      <c r="HVJ82" t="s">
        <v>254</v>
      </c>
      <c r="HVK82">
        <v>830037946</v>
      </c>
      <c r="HVL82" t="s">
        <v>260</v>
      </c>
      <c r="HVM82">
        <v>131</v>
      </c>
      <c r="HVN82" t="s">
        <v>261</v>
      </c>
      <c r="HVO82">
        <v>54018</v>
      </c>
      <c r="HVP82">
        <v>0</v>
      </c>
      <c r="HVQ82">
        <v>7076358</v>
      </c>
      <c r="HVR82" t="s">
        <v>262</v>
      </c>
      <c r="HVS82" t="s">
        <v>196</v>
      </c>
      <c r="HVT82">
        <v>53248</v>
      </c>
      <c r="HVU82" t="s">
        <v>260</v>
      </c>
      <c r="HVV82">
        <v>44048</v>
      </c>
      <c r="HVW82">
        <v>44048</v>
      </c>
      <c r="HVX82">
        <v>7076358</v>
      </c>
      <c r="HVY82">
        <v>0</v>
      </c>
      <c r="HVZ82" t="s">
        <v>254</v>
      </c>
      <c r="HWA82">
        <v>830037946</v>
      </c>
      <c r="HWB82" t="s">
        <v>260</v>
      </c>
      <c r="HWC82">
        <v>131</v>
      </c>
      <c r="HWD82" t="s">
        <v>261</v>
      </c>
      <c r="HWE82">
        <v>54018</v>
      </c>
      <c r="HWF82">
        <v>0</v>
      </c>
      <c r="HWG82">
        <v>7076358</v>
      </c>
      <c r="HWH82" t="s">
        <v>262</v>
      </c>
      <c r="HWI82" t="s">
        <v>196</v>
      </c>
      <c r="HWJ82">
        <v>53248</v>
      </c>
      <c r="HWK82" t="s">
        <v>260</v>
      </c>
      <c r="HWL82">
        <v>44048</v>
      </c>
      <c r="HWM82">
        <v>44048</v>
      </c>
      <c r="HWN82">
        <v>7076358</v>
      </c>
      <c r="HWO82">
        <v>0</v>
      </c>
      <c r="HWP82" t="s">
        <v>254</v>
      </c>
      <c r="HWQ82">
        <v>830037946</v>
      </c>
      <c r="HWR82" t="s">
        <v>260</v>
      </c>
      <c r="HWS82">
        <v>131</v>
      </c>
      <c r="HWT82" t="s">
        <v>261</v>
      </c>
      <c r="HWU82">
        <v>54018</v>
      </c>
      <c r="HWV82">
        <v>0</v>
      </c>
      <c r="HWW82">
        <v>7076358</v>
      </c>
      <c r="HWX82" t="s">
        <v>262</v>
      </c>
      <c r="HWY82" t="s">
        <v>196</v>
      </c>
      <c r="HWZ82">
        <v>53248</v>
      </c>
      <c r="HXA82" t="s">
        <v>260</v>
      </c>
      <c r="HXB82">
        <v>44048</v>
      </c>
      <c r="HXC82">
        <v>44048</v>
      </c>
      <c r="HXD82">
        <v>7076358</v>
      </c>
      <c r="HXE82">
        <v>0</v>
      </c>
      <c r="HXF82" t="s">
        <v>254</v>
      </c>
      <c r="HXG82">
        <v>830037946</v>
      </c>
      <c r="HXH82" t="s">
        <v>260</v>
      </c>
      <c r="HXI82">
        <v>131</v>
      </c>
      <c r="HXJ82" t="s">
        <v>261</v>
      </c>
      <c r="HXK82">
        <v>54018</v>
      </c>
      <c r="HXL82">
        <v>0</v>
      </c>
      <c r="HXM82">
        <v>7076358</v>
      </c>
      <c r="HXN82" t="s">
        <v>262</v>
      </c>
      <c r="HXO82" t="s">
        <v>196</v>
      </c>
      <c r="HXP82">
        <v>53248</v>
      </c>
      <c r="HXQ82" t="s">
        <v>260</v>
      </c>
      <c r="HXR82">
        <v>44048</v>
      </c>
      <c r="HXS82">
        <v>44048</v>
      </c>
      <c r="HXT82">
        <v>7076358</v>
      </c>
      <c r="HXU82">
        <v>0</v>
      </c>
      <c r="HXV82" t="s">
        <v>254</v>
      </c>
      <c r="HXW82">
        <v>830037946</v>
      </c>
      <c r="HXX82" t="s">
        <v>260</v>
      </c>
      <c r="HXY82">
        <v>131</v>
      </c>
      <c r="HXZ82" t="s">
        <v>261</v>
      </c>
      <c r="HYA82">
        <v>54018</v>
      </c>
      <c r="HYB82">
        <v>0</v>
      </c>
      <c r="HYC82">
        <v>7076358</v>
      </c>
      <c r="HYD82" t="s">
        <v>262</v>
      </c>
      <c r="HYE82" t="s">
        <v>196</v>
      </c>
      <c r="HYF82">
        <v>53248</v>
      </c>
      <c r="HYG82" t="s">
        <v>260</v>
      </c>
      <c r="HYH82">
        <v>44048</v>
      </c>
      <c r="HYI82">
        <v>44048</v>
      </c>
      <c r="HYJ82">
        <v>7076358</v>
      </c>
      <c r="HYK82">
        <v>0</v>
      </c>
      <c r="HYL82" t="s">
        <v>254</v>
      </c>
      <c r="HYM82">
        <v>830037946</v>
      </c>
      <c r="HYN82" t="s">
        <v>260</v>
      </c>
      <c r="HYO82">
        <v>131</v>
      </c>
      <c r="HYP82" t="s">
        <v>261</v>
      </c>
      <c r="HYQ82">
        <v>54018</v>
      </c>
      <c r="HYR82">
        <v>0</v>
      </c>
      <c r="HYS82">
        <v>7076358</v>
      </c>
      <c r="HYT82" t="s">
        <v>262</v>
      </c>
      <c r="HYU82" t="s">
        <v>196</v>
      </c>
      <c r="HYV82">
        <v>53248</v>
      </c>
      <c r="HYW82" t="s">
        <v>260</v>
      </c>
      <c r="HYX82">
        <v>44048</v>
      </c>
      <c r="HYY82">
        <v>44048</v>
      </c>
      <c r="HYZ82">
        <v>7076358</v>
      </c>
      <c r="HZA82">
        <v>0</v>
      </c>
      <c r="HZB82" t="s">
        <v>254</v>
      </c>
      <c r="HZC82">
        <v>830037946</v>
      </c>
      <c r="HZD82" t="s">
        <v>260</v>
      </c>
      <c r="HZE82">
        <v>131</v>
      </c>
      <c r="HZF82" t="s">
        <v>261</v>
      </c>
      <c r="HZG82">
        <v>54018</v>
      </c>
      <c r="HZH82">
        <v>0</v>
      </c>
      <c r="HZI82">
        <v>7076358</v>
      </c>
      <c r="HZJ82" t="s">
        <v>262</v>
      </c>
      <c r="HZK82" t="s">
        <v>196</v>
      </c>
      <c r="HZL82">
        <v>53248</v>
      </c>
      <c r="HZM82" t="s">
        <v>260</v>
      </c>
      <c r="HZN82">
        <v>44048</v>
      </c>
      <c r="HZO82">
        <v>44048</v>
      </c>
      <c r="HZP82">
        <v>7076358</v>
      </c>
      <c r="HZQ82">
        <v>0</v>
      </c>
      <c r="HZR82" t="s">
        <v>254</v>
      </c>
      <c r="HZS82">
        <v>830037946</v>
      </c>
      <c r="HZT82" t="s">
        <v>260</v>
      </c>
      <c r="HZU82">
        <v>131</v>
      </c>
      <c r="HZV82" t="s">
        <v>261</v>
      </c>
      <c r="HZW82">
        <v>54018</v>
      </c>
      <c r="HZX82">
        <v>0</v>
      </c>
      <c r="HZY82">
        <v>7076358</v>
      </c>
      <c r="HZZ82" t="s">
        <v>262</v>
      </c>
      <c r="IAA82" t="s">
        <v>196</v>
      </c>
      <c r="IAB82">
        <v>53248</v>
      </c>
      <c r="IAC82" t="s">
        <v>260</v>
      </c>
      <c r="IAD82">
        <v>44048</v>
      </c>
      <c r="IAE82">
        <v>44048</v>
      </c>
      <c r="IAF82">
        <v>7076358</v>
      </c>
      <c r="IAG82">
        <v>0</v>
      </c>
      <c r="IAH82" t="s">
        <v>254</v>
      </c>
      <c r="IAI82">
        <v>830037946</v>
      </c>
      <c r="IAJ82" t="s">
        <v>260</v>
      </c>
      <c r="IAK82">
        <v>131</v>
      </c>
      <c r="IAL82" t="s">
        <v>261</v>
      </c>
      <c r="IAM82">
        <v>54018</v>
      </c>
      <c r="IAN82">
        <v>0</v>
      </c>
      <c r="IAO82">
        <v>7076358</v>
      </c>
      <c r="IAP82" t="s">
        <v>262</v>
      </c>
      <c r="IAQ82" t="s">
        <v>196</v>
      </c>
      <c r="IAR82">
        <v>53248</v>
      </c>
      <c r="IAS82" t="s">
        <v>260</v>
      </c>
      <c r="IAT82">
        <v>44048</v>
      </c>
      <c r="IAU82">
        <v>44048</v>
      </c>
      <c r="IAV82">
        <v>7076358</v>
      </c>
      <c r="IAW82">
        <v>0</v>
      </c>
      <c r="IAX82" t="s">
        <v>254</v>
      </c>
      <c r="IAY82">
        <v>830037946</v>
      </c>
      <c r="IAZ82" t="s">
        <v>260</v>
      </c>
      <c r="IBA82">
        <v>131</v>
      </c>
      <c r="IBB82" t="s">
        <v>261</v>
      </c>
      <c r="IBC82">
        <v>54018</v>
      </c>
      <c r="IBD82">
        <v>0</v>
      </c>
      <c r="IBE82">
        <v>7076358</v>
      </c>
      <c r="IBF82" t="s">
        <v>262</v>
      </c>
      <c r="IBG82" t="s">
        <v>196</v>
      </c>
      <c r="IBH82">
        <v>53248</v>
      </c>
      <c r="IBI82" t="s">
        <v>260</v>
      </c>
      <c r="IBJ82">
        <v>44048</v>
      </c>
      <c r="IBK82">
        <v>44048</v>
      </c>
      <c r="IBL82">
        <v>7076358</v>
      </c>
      <c r="IBM82">
        <v>0</v>
      </c>
      <c r="IBN82" t="s">
        <v>254</v>
      </c>
      <c r="IBO82">
        <v>830037946</v>
      </c>
      <c r="IBP82" t="s">
        <v>260</v>
      </c>
      <c r="IBQ82">
        <v>131</v>
      </c>
      <c r="IBR82" t="s">
        <v>261</v>
      </c>
      <c r="IBS82">
        <v>54018</v>
      </c>
      <c r="IBT82">
        <v>0</v>
      </c>
      <c r="IBU82">
        <v>7076358</v>
      </c>
      <c r="IBV82" t="s">
        <v>262</v>
      </c>
      <c r="IBW82" t="s">
        <v>196</v>
      </c>
      <c r="IBX82">
        <v>53248</v>
      </c>
      <c r="IBY82" t="s">
        <v>260</v>
      </c>
      <c r="IBZ82">
        <v>44048</v>
      </c>
      <c r="ICA82">
        <v>44048</v>
      </c>
      <c r="ICB82">
        <v>7076358</v>
      </c>
      <c r="ICC82">
        <v>0</v>
      </c>
      <c r="ICD82" t="s">
        <v>254</v>
      </c>
      <c r="ICE82">
        <v>830037946</v>
      </c>
      <c r="ICF82" t="s">
        <v>260</v>
      </c>
      <c r="ICG82">
        <v>131</v>
      </c>
      <c r="ICH82" t="s">
        <v>261</v>
      </c>
      <c r="ICI82">
        <v>54018</v>
      </c>
      <c r="ICJ82">
        <v>0</v>
      </c>
      <c r="ICK82">
        <v>7076358</v>
      </c>
      <c r="ICL82" t="s">
        <v>262</v>
      </c>
      <c r="ICM82" t="s">
        <v>196</v>
      </c>
      <c r="ICN82">
        <v>53248</v>
      </c>
      <c r="ICO82" t="s">
        <v>260</v>
      </c>
      <c r="ICP82">
        <v>44048</v>
      </c>
      <c r="ICQ82">
        <v>44048</v>
      </c>
      <c r="ICR82">
        <v>7076358</v>
      </c>
      <c r="ICS82">
        <v>0</v>
      </c>
      <c r="ICT82" t="s">
        <v>254</v>
      </c>
      <c r="ICU82">
        <v>830037946</v>
      </c>
      <c r="ICV82" t="s">
        <v>260</v>
      </c>
      <c r="ICW82">
        <v>131</v>
      </c>
      <c r="ICX82" t="s">
        <v>261</v>
      </c>
      <c r="ICY82">
        <v>54018</v>
      </c>
      <c r="ICZ82">
        <v>0</v>
      </c>
      <c r="IDA82">
        <v>7076358</v>
      </c>
      <c r="IDB82" t="s">
        <v>262</v>
      </c>
      <c r="IDC82" t="s">
        <v>196</v>
      </c>
      <c r="IDD82">
        <v>53248</v>
      </c>
      <c r="IDE82" t="s">
        <v>260</v>
      </c>
      <c r="IDF82">
        <v>44048</v>
      </c>
      <c r="IDG82">
        <v>44048</v>
      </c>
      <c r="IDH82">
        <v>7076358</v>
      </c>
      <c r="IDI82">
        <v>0</v>
      </c>
      <c r="IDJ82" t="s">
        <v>254</v>
      </c>
      <c r="IDK82">
        <v>830037946</v>
      </c>
      <c r="IDL82" t="s">
        <v>260</v>
      </c>
      <c r="IDM82">
        <v>131</v>
      </c>
      <c r="IDN82" t="s">
        <v>261</v>
      </c>
      <c r="IDO82">
        <v>54018</v>
      </c>
      <c r="IDP82">
        <v>0</v>
      </c>
      <c r="IDQ82">
        <v>7076358</v>
      </c>
      <c r="IDR82" t="s">
        <v>262</v>
      </c>
      <c r="IDS82" t="s">
        <v>196</v>
      </c>
      <c r="IDT82">
        <v>53248</v>
      </c>
      <c r="IDU82" t="s">
        <v>260</v>
      </c>
      <c r="IDV82">
        <v>44048</v>
      </c>
      <c r="IDW82">
        <v>44048</v>
      </c>
      <c r="IDX82">
        <v>7076358</v>
      </c>
      <c r="IDY82">
        <v>0</v>
      </c>
      <c r="IDZ82" t="s">
        <v>254</v>
      </c>
      <c r="IEA82">
        <v>830037946</v>
      </c>
      <c r="IEB82" t="s">
        <v>260</v>
      </c>
      <c r="IEC82">
        <v>131</v>
      </c>
      <c r="IED82" t="s">
        <v>261</v>
      </c>
      <c r="IEE82">
        <v>54018</v>
      </c>
      <c r="IEF82">
        <v>0</v>
      </c>
      <c r="IEG82">
        <v>7076358</v>
      </c>
      <c r="IEH82" t="s">
        <v>262</v>
      </c>
      <c r="IEI82" t="s">
        <v>196</v>
      </c>
      <c r="IEJ82">
        <v>53248</v>
      </c>
      <c r="IEK82" t="s">
        <v>260</v>
      </c>
      <c r="IEL82">
        <v>44048</v>
      </c>
      <c r="IEM82">
        <v>44048</v>
      </c>
      <c r="IEN82">
        <v>7076358</v>
      </c>
      <c r="IEO82">
        <v>0</v>
      </c>
      <c r="IEP82" t="s">
        <v>254</v>
      </c>
      <c r="IEQ82">
        <v>830037946</v>
      </c>
      <c r="IER82" t="s">
        <v>260</v>
      </c>
      <c r="IES82">
        <v>131</v>
      </c>
      <c r="IET82" t="s">
        <v>261</v>
      </c>
      <c r="IEU82">
        <v>54018</v>
      </c>
      <c r="IEV82">
        <v>0</v>
      </c>
      <c r="IEW82">
        <v>7076358</v>
      </c>
      <c r="IEX82" t="s">
        <v>262</v>
      </c>
      <c r="IEY82" t="s">
        <v>196</v>
      </c>
      <c r="IEZ82">
        <v>53248</v>
      </c>
      <c r="IFA82" t="s">
        <v>260</v>
      </c>
      <c r="IFB82">
        <v>44048</v>
      </c>
      <c r="IFC82">
        <v>44048</v>
      </c>
      <c r="IFD82">
        <v>7076358</v>
      </c>
      <c r="IFE82">
        <v>0</v>
      </c>
      <c r="IFF82" t="s">
        <v>254</v>
      </c>
      <c r="IFG82">
        <v>830037946</v>
      </c>
      <c r="IFH82" t="s">
        <v>260</v>
      </c>
      <c r="IFI82">
        <v>131</v>
      </c>
      <c r="IFJ82" t="s">
        <v>261</v>
      </c>
      <c r="IFK82">
        <v>54018</v>
      </c>
      <c r="IFL82">
        <v>0</v>
      </c>
      <c r="IFM82">
        <v>7076358</v>
      </c>
      <c r="IFN82" t="s">
        <v>262</v>
      </c>
      <c r="IFO82" t="s">
        <v>196</v>
      </c>
      <c r="IFP82">
        <v>53248</v>
      </c>
      <c r="IFQ82" t="s">
        <v>260</v>
      </c>
      <c r="IFR82">
        <v>44048</v>
      </c>
      <c r="IFS82">
        <v>44048</v>
      </c>
      <c r="IFT82">
        <v>7076358</v>
      </c>
      <c r="IFU82">
        <v>0</v>
      </c>
      <c r="IFV82" t="s">
        <v>254</v>
      </c>
      <c r="IFW82">
        <v>830037946</v>
      </c>
      <c r="IFX82" t="s">
        <v>260</v>
      </c>
      <c r="IFY82">
        <v>131</v>
      </c>
      <c r="IFZ82" t="s">
        <v>261</v>
      </c>
      <c r="IGA82">
        <v>54018</v>
      </c>
      <c r="IGB82">
        <v>0</v>
      </c>
      <c r="IGC82">
        <v>7076358</v>
      </c>
      <c r="IGD82" t="s">
        <v>262</v>
      </c>
      <c r="IGE82" t="s">
        <v>196</v>
      </c>
      <c r="IGF82">
        <v>53248</v>
      </c>
      <c r="IGG82" t="s">
        <v>260</v>
      </c>
      <c r="IGH82">
        <v>44048</v>
      </c>
      <c r="IGI82">
        <v>44048</v>
      </c>
      <c r="IGJ82">
        <v>7076358</v>
      </c>
      <c r="IGK82">
        <v>0</v>
      </c>
      <c r="IGL82" t="s">
        <v>254</v>
      </c>
      <c r="IGM82">
        <v>830037946</v>
      </c>
      <c r="IGN82" t="s">
        <v>260</v>
      </c>
      <c r="IGO82">
        <v>131</v>
      </c>
      <c r="IGP82" t="s">
        <v>261</v>
      </c>
      <c r="IGQ82">
        <v>54018</v>
      </c>
      <c r="IGR82">
        <v>0</v>
      </c>
      <c r="IGS82">
        <v>7076358</v>
      </c>
      <c r="IGT82" t="s">
        <v>262</v>
      </c>
      <c r="IGU82" t="s">
        <v>196</v>
      </c>
      <c r="IGV82">
        <v>53248</v>
      </c>
      <c r="IGW82" t="s">
        <v>260</v>
      </c>
      <c r="IGX82">
        <v>44048</v>
      </c>
      <c r="IGY82">
        <v>44048</v>
      </c>
      <c r="IGZ82">
        <v>7076358</v>
      </c>
      <c r="IHA82">
        <v>0</v>
      </c>
      <c r="IHB82" t="s">
        <v>254</v>
      </c>
      <c r="IHC82">
        <v>830037946</v>
      </c>
      <c r="IHD82" t="s">
        <v>260</v>
      </c>
      <c r="IHE82">
        <v>131</v>
      </c>
      <c r="IHF82" t="s">
        <v>261</v>
      </c>
      <c r="IHG82">
        <v>54018</v>
      </c>
      <c r="IHH82">
        <v>0</v>
      </c>
      <c r="IHI82">
        <v>7076358</v>
      </c>
      <c r="IHJ82" t="s">
        <v>262</v>
      </c>
      <c r="IHK82" t="s">
        <v>196</v>
      </c>
      <c r="IHL82">
        <v>53248</v>
      </c>
      <c r="IHM82" t="s">
        <v>260</v>
      </c>
      <c r="IHN82">
        <v>44048</v>
      </c>
      <c r="IHO82">
        <v>44048</v>
      </c>
      <c r="IHP82">
        <v>7076358</v>
      </c>
      <c r="IHQ82">
        <v>0</v>
      </c>
      <c r="IHR82" t="s">
        <v>254</v>
      </c>
      <c r="IHS82">
        <v>830037946</v>
      </c>
      <c r="IHT82" t="s">
        <v>260</v>
      </c>
      <c r="IHU82">
        <v>131</v>
      </c>
      <c r="IHV82" t="s">
        <v>261</v>
      </c>
      <c r="IHW82">
        <v>54018</v>
      </c>
      <c r="IHX82">
        <v>0</v>
      </c>
      <c r="IHY82">
        <v>7076358</v>
      </c>
      <c r="IHZ82" t="s">
        <v>262</v>
      </c>
      <c r="IIA82" t="s">
        <v>196</v>
      </c>
      <c r="IIB82">
        <v>53248</v>
      </c>
      <c r="IIC82" t="s">
        <v>260</v>
      </c>
      <c r="IID82">
        <v>44048</v>
      </c>
      <c r="IIE82">
        <v>44048</v>
      </c>
      <c r="IIF82">
        <v>7076358</v>
      </c>
      <c r="IIG82">
        <v>0</v>
      </c>
      <c r="IIH82" t="s">
        <v>254</v>
      </c>
      <c r="III82">
        <v>830037946</v>
      </c>
      <c r="IIJ82" t="s">
        <v>260</v>
      </c>
      <c r="IIK82">
        <v>131</v>
      </c>
      <c r="IIL82" t="s">
        <v>261</v>
      </c>
      <c r="IIM82">
        <v>54018</v>
      </c>
      <c r="IIN82">
        <v>0</v>
      </c>
      <c r="IIO82">
        <v>7076358</v>
      </c>
      <c r="IIP82" t="s">
        <v>262</v>
      </c>
      <c r="IIQ82" t="s">
        <v>196</v>
      </c>
      <c r="IIR82">
        <v>53248</v>
      </c>
      <c r="IIS82" t="s">
        <v>260</v>
      </c>
      <c r="IIT82">
        <v>44048</v>
      </c>
      <c r="IIU82">
        <v>44048</v>
      </c>
      <c r="IIV82">
        <v>7076358</v>
      </c>
      <c r="IIW82">
        <v>0</v>
      </c>
      <c r="IIX82" t="s">
        <v>254</v>
      </c>
      <c r="IIY82">
        <v>830037946</v>
      </c>
      <c r="IIZ82" t="s">
        <v>260</v>
      </c>
      <c r="IJA82">
        <v>131</v>
      </c>
      <c r="IJB82" t="s">
        <v>261</v>
      </c>
      <c r="IJC82">
        <v>54018</v>
      </c>
      <c r="IJD82">
        <v>0</v>
      </c>
      <c r="IJE82">
        <v>7076358</v>
      </c>
      <c r="IJF82" t="s">
        <v>262</v>
      </c>
      <c r="IJG82" t="s">
        <v>196</v>
      </c>
      <c r="IJH82">
        <v>53248</v>
      </c>
      <c r="IJI82" t="s">
        <v>260</v>
      </c>
      <c r="IJJ82">
        <v>44048</v>
      </c>
      <c r="IJK82">
        <v>44048</v>
      </c>
      <c r="IJL82">
        <v>7076358</v>
      </c>
      <c r="IJM82">
        <v>0</v>
      </c>
      <c r="IJN82" t="s">
        <v>254</v>
      </c>
      <c r="IJO82">
        <v>830037946</v>
      </c>
      <c r="IJP82" t="s">
        <v>260</v>
      </c>
      <c r="IJQ82">
        <v>131</v>
      </c>
      <c r="IJR82" t="s">
        <v>261</v>
      </c>
      <c r="IJS82">
        <v>54018</v>
      </c>
      <c r="IJT82">
        <v>0</v>
      </c>
      <c r="IJU82">
        <v>7076358</v>
      </c>
      <c r="IJV82" t="s">
        <v>262</v>
      </c>
      <c r="IJW82" t="s">
        <v>196</v>
      </c>
      <c r="IJX82">
        <v>53248</v>
      </c>
      <c r="IJY82" t="s">
        <v>260</v>
      </c>
      <c r="IJZ82">
        <v>44048</v>
      </c>
      <c r="IKA82">
        <v>44048</v>
      </c>
      <c r="IKB82">
        <v>7076358</v>
      </c>
      <c r="IKC82">
        <v>0</v>
      </c>
      <c r="IKD82" t="s">
        <v>254</v>
      </c>
      <c r="IKE82">
        <v>830037946</v>
      </c>
      <c r="IKF82" t="s">
        <v>260</v>
      </c>
      <c r="IKG82">
        <v>131</v>
      </c>
      <c r="IKH82" t="s">
        <v>261</v>
      </c>
      <c r="IKI82">
        <v>54018</v>
      </c>
      <c r="IKJ82">
        <v>0</v>
      </c>
      <c r="IKK82">
        <v>7076358</v>
      </c>
      <c r="IKL82" t="s">
        <v>262</v>
      </c>
      <c r="IKM82" t="s">
        <v>196</v>
      </c>
      <c r="IKN82">
        <v>53248</v>
      </c>
      <c r="IKO82" t="s">
        <v>260</v>
      </c>
      <c r="IKP82">
        <v>44048</v>
      </c>
      <c r="IKQ82">
        <v>44048</v>
      </c>
      <c r="IKR82">
        <v>7076358</v>
      </c>
      <c r="IKS82">
        <v>0</v>
      </c>
      <c r="IKT82" t="s">
        <v>254</v>
      </c>
      <c r="IKU82">
        <v>830037946</v>
      </c>
      <c r="IKV82" t="s">
        <v>260</v>
      </c>
      <c r="IKW82">
        <v>131</v>
      </c>
      <c r="IKX82" t="s">
        <v>261</v>
      </c>
      <c r="IKY82">
        <v>54018</v>
      </c>
      <c r="IKZ82">
        <v>0</v>
      </c>
      <c r="ILA82">
        <v>7076358</v>
      </c>
      <c r="ILB82" t="s">
        <v>262</v>
      </c>
      <c r="ILC82" t="s">
        <v>196</v>
      </c>
      <c r="ILD82">
        <v>53248</v>
      </c>
      <c r="ILE82" t="s">
        <v>260</v>
      </c>
      <c r="ILF82">
        <v>44048</v>
      </c>
      <c r="ILG82">
        <v>44048</v>
      </c>
      <c r="ILH82">
        <v>7076358</v>
      </c>
      <c r="ILI82">
        <v>0</v>
      </c>
      <c r="ILJ82" t="s">
        <v>254</v>
      </c>
      <c r="ILK82">
        <v>830037946</v>
      </c>
      <c r="ILL82" t="s">
        <v>260</v>
      </c>
      <c r="ILM82">
        <v>131</v>
      </c>
      <c r="ILN82" t="s">
        <v>261</v>
      </c>
      <c r="ILO82">
        <v>54018</v>
      </c>
      <c r="ILP82">
        <v>0</v>
      </c>
      <c r="ILQ82">
        <v>7076358</v>
      </c>
      <c r="ILR82" t="s">
        <v>262</v>
      </c>
      <c r="ILS82" t="s">
        <v>196</v>
      </c>
      <c r="ILT82">
        <v>53248</v>
      </c>
      <c r="ILU82" t="s">
        <v>260</v>
      </c>
      <c r="ILV82">
        <v>44048</v>
      </c>
      <c r="ILW82">
        <v>44048</v>
      </c>
      <c r="ILX82">
        <v>7076358</v>
      </c>
      <c r="ILY82">
        <v>0</v>
      </c>
      <c r="ILZ82" t="s">
        <v>254</v>
      </c>
      <c r="IMA82">
        <v>830037946</v>
      </c>
      <c r="IMB82" t="s">
        <v>260</v>
      </c>
      <c r="IMC82">
        <v>131</v>
      </c>
      <c r="IMD82" t="s">
        <v>261</v>
      </c>
      <c r="IME82">
        <v>54018</v>
      </c>
      <c r="IMF82">
        <v>0</v>
      </c>
      <c r="IMG82">
        <v>7076358</v>
      </c>
      <c r="IMH82" t="s">
        <v>262</v>
      </c>
      <c r="IMI82" t="s">
        <v>196</v>
      </c>
      <c r="IMJ82">
        <v>53248</v>
      </c>
      <c r="IMK82" t="s">
        <v>260</v>
      </c>
      <c r="IML82">
        <v>44048</v>
      </c>
      <c r="IMM82">
        <v>44048</v>
      </c>
      <c r="IMN82">
        <v>7076358</v>
      </c>
      <c r="IMO82">
        <v>0</v>
      </c>
      <c r="IMP82" t="s">
        <v>254</v>
      </c>
      <c r="IMQ82">
        <v>830037946</v>
      </c>
      <c r="IMR82" t="s">
        <v>260</v>
      </c>
      <c r="IMS82">
        <v>131</v>
      </c>
      <c r="IMT82" t="s">
        <v>261</v>
      </c>
      <c r="IMU82">
        <v>54018</v>
      </c>
      <c r="IMV82">
        <v>0</v>
      </c>
      <c r="IMW82">
        <v>7076358</v>
      </c>
      <c r="IMX82" t="s">
        <v>262</v>
      </c>
      <c r="IMY82" t="s">
        <v>196</v>
      </c>
      <c r="IMZ82">
        <v>53248</v>
      </c>
      <c r="INA82" t="s">
        <v>260</v>
      </c>
      <c r="INB82">
        <v>44048</v>
      </c>
      <c r="INC82">
        <v>44048</v>
      </c>
      <c r="IND82">
        <v>7076358</v>
      </c>
      <c r="INE82">
        <v>0</v>
      </c>
      <c r="INF82" t="s">
        <v>254</v>
      </c>
      <c r="ING82">
        <v>830037946</v>
      </c>
      <c r="INH82" t="s">
        <v>260</v>
      </c>
      <c r="INI82">
        <v>131</v>
      </c>
      <c r="INJ82" t="s">
        <v>261</v>
      </c>
      <c r="INK82">
        <v>54018</v>
      </c>
      <c r="INL82">
        <v>0</v>
      </c>
      <c r="INM82">
        <v>7076358</v>
      </c>
      <c r="INN82" t="s">
        <v>262</v>
      </c>
      <c r="INO82" t="s">
        <v>196</v>
      </c>
      <c r="INP82">
        <v>53248</v>
      </c>
      <c r="INQ82" t="s">
        <v>260</v>
      </c>
      <c r="INR82">
        <v>44048</v>
      </c>
      <c r="INS82">
        <v>44048</v>
      </c>
      <c r="INT82">
        <v>7076358</v>
      </c>
      <c r="INU82">
        <v>0</v>
      </c>
      <c r="INV82" t="s">
        <v>254</v>
      </c>
      <c r="INW82">
        <v>830037946</v>
      </c>
      <c r="INX82" t="s">
        <v>260</v>
      </c>
      <c r="INY82">
        <v>131</v>
      </c>
      <c r="INZ82" t="s">
        <v>261</v>
      </c>
      <c r="IOA82">
        <v>54018</v>
      </c>
      <c r="IOB82">
        <v>0</v>
      </c>
      <c r="IOC82">
        <v>7076358</v>
      </c>
      <c r="IOD82" t="s">
        <v>262</v>
      </c>
      <c r="IOE82" t="s">
        <v>196</v>
      </c>
      <c r="IOF82">
        <v>53248</v>
      </c>
      <c r="IOG82" t="s">
        <v>260</v>
      </c>
      <c r="IOH82">
        <v>44048</v>
      </c>
      <c r="IOI82">
        <v>44048</v>
      </c>
      <c r="IOJ82">
        <v>7076358</v>
      </c>
      <c r="IOK82">
        <v>0</v>
      </c>
      <c r="IOL82" t="s">
        <v>254</v>
      </c>
      <c r="IOM82">
        <v>830037946</v>
      </c>
      <c r="ION82" t="s">
        <v>260</v>
      </c>
      <c r="IOO82">
        <v>131</v>
      </c>
      <c r="IOP82" t="s">
        <v>261</v>
      </c>
      <c r="IOQ82">
        <v>54018</v>
      </c>
      <c r="IOR82">
        <v>0</v>
      </c>
      <c r="IOS82">
        <v>7076358</v>
      </c>
      <c r="IOT82" t="s">
        <v>262</v>
      </c>
      <c r="IOU82" t="s">
        <v>196</v>
      </c>
      <c r="IOV82">
        <v>53248</v>
      </c>
      <c r="IOW82" t="s">
        <v>260</v>
      </c>
      <c r="IOX82">
        <v>44048</v>
      </c>
      <c r="IOY82">
        <v>44048</v>
      </c>
      <c r="IOZ82">
        <v>7076358</v>
      </c>
      <c r="IPA82">
        <v>0</v>
      </c>
      <c r="IPB82" t="s">
        <v>254</v>
      </c>
      <c r="IPC82">
        <v>830037946</v>
      </c>
      <c r="IPD82" t="s">
        <v>260</v>
      </c>
      <c r="IPE82">
        <v>131</v>
      </c>
      <c r="IPF82" t="s">
        <v>261</v>
      </c>
      <c r="IPG82">
        <v>54018</v>
      </c>
      <c r="IPH82">
        <v>0</v>
      </c>
      <c r="IPI82">
        <v>7076358</v>
      </c>
      <c r="IPJ82" t="s">
        <v>262</v>
      </c>
      <c r="IPK82" t="s">
        <v>196</v>
      </c>
      <c r="IPL82">
        <v>53248</v>
      </c>
      <c r="IPM82" t="s">
        <v>260</v>
      </c>
      <c r="IPN82">
        <v>44048</v>
      </c>
      <c r="IPO82">
        <v>44048</v>
      </c>
      <c r="IPP82">
        <v>7076358</v>
      </c>
      <c r="IPQ82">
        <v>0</v>
      </c>
      <c r="IPR82" t="s">
        <v>254</v>
      </c>
      <c r="IPS82">
        <v>830037946</v>
      </c>
      <c r="IPT82" t="s">
        <v>260</v>
      </c>
      <c r="IPU82">
        <v>131</v>
      </c>
      <c r="IPV82" t="s">
        <v>261</v>
      </c>
      <c r="IPW82">
        <v>54018</v>
      </c>
      <c r="IPX82">
        <v>0</v>
      </c>
      <c r="IPY82">
        <v>7076358</v>
      </c>
      <c r="IPZ82" t="s">
        <v>262</v>
      </c>
      <c r="IQA82" t="s">
        <v>196</v>
      </c>
      <c r="IQB82">
        <v>53248</v>
      </c>
      <c r="IQC82" t="s">
        <v>260</v>
      </c>
      <c r="IQD82">
        <v>44048</v>
      </c>
      <c r="IQE82">
        <v>44048</v>
      </c>
      <c r="IQF82">
        <v>7076358</v>
      </c>
      <c r="IQG82">
        <v>0</v>
      </c>
      <c r="IQH82" t="s">
        <v>254</v>
      </c>
      <c r="IQI82">
        <v>830037946</v>
      </c>
      <c r="IQJ82" t="s">
        <v>260</v>
      </c>
      <c r="IQK82">
        <v>131</v>
      </c>
      <c r="IQL82" t="s">
        <v>261</v>
      </c>
      <c r="IQM82">
        <v>54018</v>
      </c>
      <c r="IQN82">
        <v>0</v>
      </c>
      <c r="IQO82">
        <v>7076358</v>
      </c>
      <c r="IQP82" t="s">
        <v>262</v>
      </c>
      <c r="IQQ82" t="s">
        <v>196</v>
      </c>
      <c r="IQR82">
        <v>53248</v>
      </c>
      <c r="IQS82" t="s">
        <v>260</v>
      </c>
      <c r="IQT82">
        <v>44048</v>
      </c>
      <c r="IQU82">
        <v>44048</v>
      </c>
      <c r="IQV82">
        <v>7076358</v>
      </c>
      <c r="IQW82">
        <v>0</v>
      </c>
      <c r="IQX82" t="s">
        <v>254</v>
      </c>
      <c r="IQY82">
        <v>830037946</v>
      </c>
      <c r="IQZ82" t="s">
        <v>260</v>
      </c>
      <c r="IRA82">
        <v>131</v>
      </c>
      <c r="IRB82" t="s">
        <v>261</v>
      </c>
      <c r="IRC82">
        <v>54018</v>
      </c>
      <c r="IRD82">
        <v>0</v>
      </c>
      <c r="IRE82">
        <v>7076358</v>
      </c>
      <c r="IRF82" t="s">
        <v>262</v>
      </c>
      <c r="IRG82" t="s">
        <v>196</v>
      </c>
      <c r="IRH82">
        <v>53248</v>
      </c>
      <c r="IRI82" t="s">
        <v>260</v>
      </c>
      <c r="IRJ82">
        <v>44048</v>
      </c>
      <c r="IRK82">
        <v>44048</v>
      </c>
      <c r="IRL82">
        <v>7076358</v>
      </c>
      <c r="IRM82">
        <v>0</v>
      </c>
      <c r="IRN82" t="s">
        <v>254</v>
      </c>
      <c r="IRO82">
        <v>830037946</v>
      </c>
      <c r="IRP82" t="s">
        <v>260</v>
      </c>
      <c r="IRQ82">
        <v>131</v>
      </c>
      <c r="IRR82" t="s">
        <v>261</v>
      </c>
      <c r="IRS82">
        <v>54018</v>
      </c>
      <c r="IRT82">
        <v>0</v>
      </c>
      <c r="IRU82">
        <v>7076358</v>
      </c>
      <c r="IRV82" t="s">
        <v>262</v>
      </c>
      <c r="IRW82" t="s">
        <v>196</v>
      </c>
      <c r="IRX82">
        <v>53248</v>
      </c>
      <c r="IRY82" t="s">
        <v>260</v>
      </c>
      <c r="IRZ82">
        <v>44048</v>
      </c>
      <c r="ISA82">
        <v>44048</v>
      </c>
      <c r="ISB82">
        <v>7076358</v>
      </c>
      <c r="ISC82">
        <v>0</v>
      </c>
      <c r="ISD82" t="s">
        <v>254</v>
      </c>
      <c r="ISE82">
        <v>830037946</v>
      </c>
      <c r="ISF82" t="s">
        <v>260</v>
      </c>
      <c r="ISG82">
        <v>131</v>
      </c>
      <c r="ISH82" t="s">
        <v>261</v>
      </c>
      <c r="ISI82">
        <v>54018</v>
      </c>
      <c r="ISJ82">
        <v>0</v>
      </c>
      <c r="ISK82">
        <v>7076358</v>
      </c>
      <c r="ISL82" t="s">
        <v>262</v>
      </c>
      <c r="ISM82" t="s">
        <v>196</v>
      </c>
      <c r="ISN82">
        <v>53248</v>
      </c>
      <c r="ISO82" t="s">
        <v>260</v>
      </c>
      <c r="ISP82">
        <v>44048</v>
      </c>
      <c r="ISQ82">
        <v>44048</v>
      </c>
      <c r="ISR82">
        <v>7076358</v>
      </c>
      <c r="ISS82">
        <v>0</v>
      </c>
      <c r="IST82" t="s">
        <v>254</v>
      </c>
      <c r="ISU82">
        <v>830037946</v>
      </c>
      <c r="ISV82" t="s">
        <v>260</v>
      </c>
      <c r="ISW82">
        <v>131</v>
      </c>
      <c r="ISX82" t="s">
        <v>261</v>
      </c>
      <c r="ISY82">
        <v>54018</v>
      </c>
      <c r="ISZ82">
        <v>0</v>
      </c>
      <c r="ITA82">
        <v>7076358</v>
      </c>
      <c r="ITB82" t="s">
        <v>262</v>
      </c>
      <c r="ITC82" t="s">
        <v>196</v>
      </c>
      <c r="ITD82">
        <v>53248</v>
      </c>
      <c r="ITE82" t="s">
        <v>260</v>
      </c>
      <c r="ITF82">
        <v>44048</v>
      </c>
      <c r="ITG82">
        <v>44048</v>
      </c>
      <c r="ITH82">
        <v>7076358</v>
      </c>
      <c r="ITI82">
        <v>0</v>
      </c>
      <c r="ITJ82" t="s">
        <v>254</v>
      </c>
      <c r="ITK82">
        <v>830037946</v>
      </c>
      <c r="ITL82" t="s">
        <v>260</v>
      </c>
      <c r="ITM82">
        <v>131</v>
      </c>
      <c r="ITN82" t="s">
        <v>261</v>
      </c>
      <c r="ITO82">
        <v>54018</v>
      </c>
      <c r="ITP82">
        <v>0</v>
      </c>
      <c r="ITQ82">
        <v>7076358</v>
      </c>
      <c r="ITR82" t="s">
        <v>262</v>
      </c>
      <c r="ITS82" t="s">
        <v>196</v>
      </c>
      <c r="ITT82">
        <v>53248</v>
      </c>
      <c r="ITU82" t="s">
        <v>260</v>
      </c>
      <c r="ITV82">
        <v>44048</v>
      </c>
      <c r="ITW82">
        <v>44048</v>
      </c>
      <c r="ITX82">
        <v>7076358</v>
      </c>
      <c r="ITY82">
        <v>0</v>
      </c>
      <c r="ITZ82" t="s">
        <v>254</v>
      </c>
      <c r="IUA82">
        <v>830037946</v>
      </c>
      <c r="IUB82" t="s">
        <v>260</v>
      </c>
      <c r="IUC82">
        <v>131</v>
      </c>
      <c r="IUD82" t="s">
        <v>261</v>
      </c>
      <c r="IUE82">
        <v>54018</v>
      </c>
      <c r="IUF82">
        <v>0</v>
      </c>
      <c r="IUG82">
        <v>7076358</v>
      </c>
      <c r="IUH82" t="s">
        <v>262</v>
      </c>
      <c r="IUI82" t="s">
        <v>196</v>
      </c>
      <c r="IUJ82">
        <v>53248</v>
      </c>
      <c r="IUK82" t="s">
        <v>260</v>
      </c>
      <c r="IUL82">
        <v>44048</v>
      </c>
      <c r="IUM82">
        <v>44048</v>
      </c>
      <c r="IUN82">
        <v>7076358</v>
      </c>
      <c r="IUO82">
        <v>0</v>
      </c>
      <c r="IUP82" t="s">
        <v>254</v>
      </c>
      <c r="IUQ82">
        <v>830037946</v>
      </c>
      <c r="IUR82" t="s">
        <v>260</v>
      </c>
      <c r="IUS82">
        <v>131</v>
      </c>
      <c r="IUT82" t="s">
        <v>261</v>
      </c>
      <c r="IUU82">
        <v>54018</v>
      </c>
      <c r="IUV82">
        <v>0</v>
      </c>
      <c r="IUW82">
        <v>7076358</v>
      </c>
      <c r="IUX82" t="s">
        <v>262</v>
      </c>
      <c r="IUY82" t="s">
        <v>196</v>
      </c>
      <c r="IUZ82">
        <v>53248</v>
      </c>
      <c r="IVA82" t="s">
        <v>260</v>
      </c>
      <c r="IVB82">
        <v>44048</v>
      </c>
      <c r="IVC82">
        <v>44048</v>
      </c>
      <c r="IVD82">
        <v>7076358</v>
      </c>
      <c r="IVE82">
        <v>0</v>
      </c>
      <c r="IVF82" t="s">
        <v>254</v>
      </c>
      <c r="IVG82">
        <v>830037946</v>
      </c>
      <c r="IVH82" t="s">
        <v>260</v>
      </c>
      <c r="IVI82">
        <v>131</v>
      </c>
      <c r="IVJ82" t="s">
        <v>261</v>
      </c>
      <c r="IVK82">
        <v>54018</v>
      </c>
      <c r="IVL82">
        <v>0</v>
      </c>
      <c r="IVM82">
        <v>7076358</v>
      </c>
      <c r="IVN82" t="s">
        <v>262</v>
      </c>
      <c r="IVO82" t="s">
        <v>196</v>
      </c>
      <c r="IVP82">
        <v>53248</v>
      </c>
      <c r="IVQ82" t="s">
        <v>260</v>
      </c>
      <c r="IVR82">
        <v>44048</v>
      </c>
      <c r="IVS82">
        <v>44048</v>
      </c>
      <c r="IVT82">
        <v>7076358</v>
      </c>
      <c r="IVU82">
        <v>0</v>
      </c>
      <c r="IVV82" t="s">
        <v>254</v>
      </c>
      <c r="IVW82">
        <v>830037946</v>
      </c>
      <c r="IVX82" t="s">
        <v>260</v>
      </c>
      <c r="IVY82">
        <v>131</v>
      </c>
      <c r="IVZ82" t="s">
        <v>261</v>
      </c>
      <c r="IWA82">
        <v>54018</v>
      </c>
      <c r="IWB82">
        <v>0</v>
      </c>
      <c r="IWC82">
        <v>7076358</v>
      </c>
      <c r="IWD82" t="s">
        <v>262</v>
      </c>
      <c r="IWE82" t="s">
        <v>196</v>
      </c>
      <c r="IWF82">
        <v>53248</v>
      </c>
      <c r="IWG82" t="s">
        <v>260</v>
      </c>
      <c r="IWH82">
        <v>44048</v>
      </c>
      <c r="IWI82">
        <v>44048</v>
      </c>
      <c r="IWJ82">
        <v>7076358</v>
      </c>
      <c r="IWK82">
        <v>0</v>
      </c>
      <c r="IWL82" t="s">
        <v>254</v>
      </c>
      <c r="IWM82">
        <v>830037946</v>
      </c>
      <c r="IWN82" t="s">
        <v>260</v>
      </c>
      <c r="IWO82">
        <v>131</v>
      </c>
      <c r="IWP82" t="s">
        <v>261</v>
      </c>
      <c r="IWQ82">
        <v>54018</v>
      </c>
      <c r="IWR82">
        <v>0</v>
      </c>
      <c r="IWS82">
        <v>7076358</v>
      </c>
      <c r="IWT82" t="s">
        <v>262</v>
      </c>
      <c r="IWU82" t="s">
        <v>196</v>
      </c>
      <c r="IWV82">
        <v>53248</v>
      </c>
      <c r="IWW82" t="s">
        <v>260</v>
      </c>
      <c r="IWX82">
        <v>44048</v>
      </c>
      <c r="IWY82">
        <v>44048</v>
      </c>
      <c r="IWZ82">
        <v>7076358</v>
      </c>
      <c r="IXA82">
        <v>0</v>
      </c>
      <c r="IXB82" t="s">
        <v>254</v>
      </c>
      <c r="IXC82">
        <v>830037946</v>
      </c>
      <c r="IXD82" t="s">
        <v>260</v>
      </c>
      <c r="IXE82">
        <v>131</v>
      </c>
      <c r="IXF82" t="s">
        <v>261</v>
      </c>
      <c r="IXG82">
        <v>54018</v>
      </c>
      <c r="IXH82">
        <v>0</v>
      </c>
      <c r="IXI82">
        <v>7076358</v>
      </c>
      <c r="IXJ82" t="s">
        <v>262</v>
      </c>
      <c r="IXK82" t="s">
        <v>196</v>
      </c>
      <c r="IXL82">
        <v>53248</v>
      </c>
      <c r="IXM82" t="s">
        <v>260</v>
      </c>
      <c r="IXN82">
        <v>44048</v>
      </c>
      <c r="IXO82">
        <v>44048</v>
      </c>
      <c r="IXP82">
        <v>7076358</v>
      </c>
      <c r="IXQ82">
        <v>0</v>
      </c>
      <c r="IXR82" t="s">
        <v>254</v>
      </c>
      <c r="IXS82">
        <v>830037946</v>
      </c>
      <c r="IXT82" t="s">
        <v>260</v>
      </c>
      <c r="IXU82">
        <v>131</v>
      </c>
      <c r="IXV82" t="s">
        <v>261</v>
      </c>
      <c r="IXW82">
        <v>54018</v>
      </c>
      <c r="IXX82">
        <v>0</v>
      </c>
      <c r="IXY82">
        <v>7076358</v>
      </c>
      <c r="IXZ82" t="s">
        <v>262</v>
      </c>
      <c r="IYA82" t="s">
        <v>196</v>
      </c>
      <c r="IYB82">
        <v>53248</v>
      </c>
      <c r="IYC82" t="s">
        <v>260</v>
      </c>
      <c r="IYD82">
        <v>44048</v>
      </c>
      <c r="IYE82">
        <v>44048</v>
      </c>
      <c r="IYF82">
        <v>7076358</v>
      </c>
      <c r="IYG82">
        <v>0</v>
      </c>
      <c r="IYH82" t="s">
        <v>254</v>
      </c>
      <c r="IYI82">
        <v>830037946</v>
      </c>
      <c r="IYJ82" t="s">
        <v>260</v>
      </c>
      <c r="IYK82">
        <v>131</v>
      </c>
      <c r="IYL82" t="s">
        <v>261</v>
      </c>
      <c r="IYM82">
        <v>54018</v>
      </c>
      <c r="IYN82">
        <v>0</v>
      </c>
      <c r="IYO82">
        <v>7076358</v>
      </c>
      <c r="IYP82" t="s">
        <v>262</v>
      </c>
      <c r="IYQ82" t="s">
        <v>196</v>
      </c>
      <c r="IYR82">
        <v>53248</v>
      </c>
      <c r="IYS82" t="s">
        <v>260</v>
      </c>
      <c r="IYT82">
        <v>44048</v>
      </c>
      <c r="IYU82">
        <v>44048</v>
      </c>
      <c r="IYV82">
        <v>7076358</v>
      </c>
      <c r="IYW82">
        <v>0</v>
      </c>
      <c r="IYX82" t="s">
        <v>254</v>
      </c>
      <c r="IYY82">
        <v>830037946</v>
      </c>
      <c r="IYZ82" t="s">
        <v>260</v>
      </c>
      <c r="IZA82">
        <v>131</v>
      </c>
      <c r="IZB82" t="s">
        <v>261</v>
      </c>
      <c r="IZC82">
        <v>54018</v>
      </c>
      <c r="IZD82">
        <v>0</v>
      </c>
      <c r="IZE82">
        <v>7076358</v>
      </c>
      <c r="IZF82" t="s">
        <v>262</v>
      </c>
      <c r="IZG82" t="s">
        <v>196</v>
      </c>
      <c r="IZH82">
        <v>53248</v>
      </c>
      <c r="IZI82" t="s">
        <v>260</v>
      </c>
      <c r="IZJ82">
        <v>44048</v>
      </c>
      <c r="IZK82">
        <v>44048</v>
      </c>
      <c r="IZL82">
        <v>7076358</v>
      </c>
      <c r="IZM82">
        <v>0</v>
      </c>
      <c r="IZN82" t="s">
        <v>254</v>
      </c>
      <c r="IZO82">
        <v>830037946</v>
      </c>
      <c r="IZP82" t="s">
        <v>260</v>
      </c>
      <c r="IZQ82">
        <v>131</v>
      </c>
      <c r="IZR82" t="s">
        <v>261</v>
      </c>
      <c r="IZS82">
        <v>54018</v>
      </c>
      <c r="IZT82">
        <v>0</v>
      </c>
      <c r="IZU82">
        <v>7076358</v>
      </c>
      <c r="IZV82" t="s">
        <v>262</v>
      </c>
      <c r="IZW82" t="s">
        <v>196</v>
      </c>
      <c r="IZX82">
        <v>53248</v>
      </c>
      <c r="IZY82" t="s">
        <v>260</v>
      </c>
      <c r="IZZ82">
        <v>44048</v>
      </c>
      <c r="JAA82">
        <v>44048</v>
      </c>
      <c r="JAB82">
        <v>7076358</v>
      </c>
      <c r="JAC82">
        <v>0</v>
      </c>
      <c r="JAD82" t="s">
        <v>254</v>
      </c>
      <c r="JAE82">
        <v>830037946</v>
      </c>
      <c r="JAF82" t="s">
        <v>260</v>
      </c>
      <c r="JAG82">
        <v>131</v>
      </c>
      <c r="JAH82" t="s">
        <v>261</v>
      </c>
      <c r="JAI82">
        <v>54018</v>
      </c>
      <c r="JAJ82">
        <v>0</v>
      </c>
      <c r="JAK82">
        <v>7076358</v>
      </c>
      <c r="JAL82" t="s">
        <v>262</v>
      </c>
      <c r="JAM82" t="s">
        <v>196</v>
      </c>
      <c r="JAN82">
        <v>53248</v>
      </c>
      <c r="JAO82" t="s">
        <v>260</v>
      </c>
      <c r="JAP82">
        <v>44048</v>
      </c>
      <c r="JAQ82">
        <v>44048</v>
      </c>
      <c r="JAR82">
        <v>7076358</v>
      </c>
      <c r="JAS82">
        <v>0</v>
      </c>
      <c r="JAT82" t="s">
        <v>254</v>
      </c>
      <c r="JAU82">
        <v>830037946</v>
      </c>
      <c r="JAV82" t="s">
        <v>260</v>
      </c>
      <c r="JAW82">
        <v>131</v>
      </c>
      <c r="JAX82" t="s">
        <v>261</v>
      </c>
      <c r="JAY82">
        <v>54018</v>
      </c>
      <c r="JAZ82">
        <v>0</v>
      </c>
      <c r="JBA82">
        <v>7076358</v>
      </c>
      <c r="JBB82" t="s">
        <v>262</v>
      </c>
      <c r="JBC82" t="s">
        <v>196</v>
      </c>
      <c r="JBD82">
        <v>53248</v>
      </c>
      <c r="JBE82" t="s">
        <v>260</v>
      </c>
      <c r="JBF82">
        <v>44048</v>
      </c>
      <c r="JBG82">
        <v>44048</v>
      </c>
      <c r="JBH82">
        <v>7076358</v>
      </c>
      <c r="JBI82">
        <v>0</v>
      </c>
      <c r="JBJ82" t="s">
        <v>254</v>
      </c>
      <c r="JBK82">
        <v>830037946</v>
      </c>
      <c r="JBL82" t="s">
        <v>260</v>
      </c>
      <c r="JBM82">
        <v>131</v>
      </c>
      <c r="JBN82" t="s">
        <v>261</v>
      </c>
      <c r="JBO82">
        <v>54018</v>
      </c>
      <c r="JBP82">
        <v>0</v>
      </c>
      <c r="JBQ82">
        <v>7076358</v>
      </c>
      <c r="JBR82" t="s">
        <v>262</v>
      </c>
      <c r="JBS82" t="s">
        <v>196</v>
      </c>
      <c r="JBT82">
        <v>53248</v>
      </c>
      <c r="JBU82" t="s">
        <v>260</v>
      </c>
      <c r="JBV82">
        <v>44048</v>
      </c>
      <c r="JBW82">
        <v>44048</v>
      </c>
      <c r="JBX82">
        <v>7076358</v>
      </c>
      <c r="JBY82">
        <v>0</v>
      </c>
      <c r="JBZ82" t="s">
        <v>254</v>
      </c>
      <c r="JCA82">
        <v>830037946</v>
      </c>
      <c r="JCB82" t="s">
        <v>260</v>
      </c>
      <c r="JCC82">
        <v>131</v>
      </c>
      <c r="JCD82" t="s">
        <v>261</v>
      </c>
      <c r="JCE82">
        <v>54018</v>
      </c>
      <c r="JCF82">
        <v>0</v>
      </c>
      <c r="JCG82">
        <v>7076358</v>
      </c>
      <c r="JCH82" t="s">
        <v>262</v>
      </c>
      <c r="JCI82" t="s">
        <v>196</v>
      </c>
      <c r="JCJ82">
        <v>53248</v>
      </c>
      <c r="JCK82" t="s">
        <v>260</v>
      </c>
      <c r="JCL82">
        <v>44048</v>
      </c>
      <c r="JCM82">
        <v>44048</v>
      </c>
      <c r="JCN82">
        <v>7076358</v>
      </c>
      <c r="JCO82">
        <v>0</v>
      </c>
      <c r="JCP82" t="s">
        <v>254</v>
      </c>
      <c r="JCQ82">
        <v>830037946</v>
      </c>
      <c r="JCR82" t="s">
        <v>260</v>
      </c>
      <c r="JCS82">
        <v>131</v>
      </c>
      <c r="JCT82" t="s">
        <v>261</v>
      </c>
      <c r="JCU82">
        <v>54018</v>
      </c>
      <c r="JCV82">
        <v>0</v>
      </c>
      <c r="JCW82">
        <v>7076358</v>
      </c>
      <c r="JCX82" t="s">
        <v>262</v>
      </c>
      <c r="JCY82" t="s">
        <v>196</v>
      </c>
      <c r="JCZ82">
        <v>53248</v>
      </c>
      <c r="JDA82" t="s">
        <v>260</v>
      </c>
      <c r="JDB82">
        <v>44048</v>
      </c>
      <c r="JDC82">
        <v>44048</v>
      </c>
      <c r="JDD82">
        <v>7076358</v>
      </c>
      <c r="JDE82">
        <v>0</v>
      </c>
      <c r="JDF82" t="s">
        <v>254</v>
      </c>
      <c r="JDG82">
        <v>830037946</v>
      </c>
      <c r="JDH82" t="s">
        <v>260</v>
      </c>
      <c r="JDI82">
        <v>131</v>
      </c>
      <c r="JDJ82" t="s">
        <v>261</v>
      </c>
      <c r="JDK82">
        <v>54018</v>
      </c>
      <c r="JDL82">
        <v>0</v>
      </c>
      <c r="JDM82">
        <v>7076358</v>
      </c>
      <c r="JDN82" t="s">
        <v>262</v>
      </c>
      <c r="JDO82" t="s">
        <v>196</v>
      </c>
      <c r="JDP82">
        <v>53248</v>
      </c>
      <c r="JDQ82" t="s">
        <v>260</v>
      </c>
      <c r="JDR82">
        <v>44048</v>
      </c>
      <c r="JDS82">
        <v>44048</v>
      </c>
      <c r="JDT82">
        <v>7076358</v>
      </c>
      <c r="JDU82">
        <v>0</v>
      </c>
      <c r="JDV82" t="s">
        <v>254</v>
      </c>
      <c r="JDW82">
        <v>830037946</v>
      </c>
      <c r="JDX82" t="s">
        <v>260</v>
      </c>
      <c r="JDY82">
        <v>131</v>
      </c>
      <c r="JDZ82" t="s">
        <v>261</v>
      </c>
      <c r="JEA82">
        <v>54018</v>
      </c>
      <c r="JEB82">
        <v>0</v>
      </c>
      <c r="JEC82">
        <v>7076358</v>
      </c>
      <c r="JED82" t="s">
        <v>262</v>
      </c>
      <c r="JEE82" t="s">
        <v>196</v>
      </c>
      <c r="JEF82">
        <v>53248</v>
      </c>
      <c r="JEG82" t="s">
        <v>260</v>
      </c>
      <c r="JEH82">
        <v>44048</v>
      </c>
      <c r="JEI82">
        <v>44048</v>
      </c>
      <c r="JEJ82">
        <v>7076358</v>
      </c>
      <c r="JEK82">
        <v>0</v>
      </c>
      <c r="JEL82" t="s">
        <v>254</v>
      </c>
      <c r="JEM82">
        <v>830037946</v>
      </c>
      <c r="JEN82" t="s">
        <v>260</v>
      </c>
      <c r="JEO82">
        <v>131</v>
      </c>
      <c r="JEP82" t="s">
        <v>261</v>
      </c>
      <c r="JEQ82">
        <v>54018</v>
      </c>
      <c r="JER82">
        <v>0</v>
      </c>
      <c r="JES82">
        <v>7076358</v>
      </c>
      <c r="JET82" t="s">
        <v>262</v>
      </c>
      <c r="JEU82" t="s">
        <v>196</v>
      </c>
      <c r="JEV82">
        <v>53248</v>
      </c>
      <c r="JEW82" t="s">
        <v>260</v>
      </c>
      <c r="JEX82">
        <v>44048</v>
      </c>
      <c r="JEY82">
        <v>44048</v>
      </c>
      <c r="JEZ82">
        <v>7076358</v>
      </c>
      <c r="JFA82">
        <v>0</v>
      </c>
      <c r="JFB82" t="s">
        <v>254</v>
      </c>
      <c r="JFC82">
        <v>830037946</v>
      </c>
      <c r="JFD82" t="s">
        <v>260</v>
      </c>
      <c r="JFE82">
        <v>131</v>
      </c>
      <c r="JFF82" t="s">
        <v>261</v>
      </c>
      <c r="JFG82">
        <v>54018</v>
      </c>
      <c r="JFH82">
        <v>0</v>
      </c>
      <c r="JFI82">
        <v>7076358</v>
      </c>
      <c r="JFJ82" t="s">
        <v>262</v>
      </c>
      <c r="JFK82" t="s">
        <v>196</v>
      </c>
      <c r="JFL82">
        <v>53248</v>
      </c>
      <c r="JFM82" t="s">
        <v>260</v>
      </c>
      <c r="JFN82">
        <v>44048</v>
      </c>
      <c r="JFO82">
        <v>44048</v>
      </c>
      <c r="JFP82">
        <v>7076358</v>
      </c>
      <c r="JFQ82">
        <v>0</v>
      </c>
      <c r="JFR82" t="s">
        <v>254</v>
      </c>
      <c r="JFS82">
        <v>830037946</v>
      </c>
      <c r="JFT82" t="s">
        <v>260</v>
      </c>
      <c r="JFU82">
        <v>131</v>
      </c>
      <c r="JFV82" t="s">
        <v>261</v>
      </c>
      <c r="JFW82">
        <v>54018</v>
      </c>
      <c r="JFX82">
        <v>0</v>
      </c>
      <c r="JFY82">
        <v>7076358</v>
      </c>
      <c r="JFZ82" t="s">
        <v>262</v>
      </c>
      <c r="JGA82" t="s">
        <v>196</v>
      </c>
      <c r="JGB82">
        <v>53248</v>
      </c>
      <c r="JGC82" t="s">
        <v>260</v>
      </c>
      <c r="JGD82">
        <v>44048</v>
      </c>
      <c r="JGE82">
        <v>44048</v>
      </c>
      <c r="JGF82">
        <v>7076358</v>
      </c>
      <c r="JGG82">
        <v>0</v>
      </c>
      <c r="JGH82" t="s">
        <v>254</v>
      </c>
      <c r="JGI82">
        <v>830037946</v>
      </c>
      <c r="JGJ82" t="s">
        <v>260</v>
      </c>
      <c r="JGK82">
        <v>131</v>
      </c>
      <c r="JGL82" t="s">
        <v>261</v>
      </c>
      <c r="JGM82">
        <v>54018</v>
      </c>
      <c r="JGN82">
        <v>0</v>
      </c>
      <c r="JGO82">
        <v>7076358</v>
      </c>
      <c r="JGP82" t="s">
        <v>262</v>
      </c>
      <c r="JGQ82" t="s">
        <v>196</v>
      </c>
      <c r="JGR82">
        <v>53248</v>
      </c>
      <c r="JGS82" t="s">
        <v>260</v>
      </c>
      <c r="JGT82">
        <v>44048</v>
      </c>
      <c r="JGU82">
        <v>44048</v>
      </c>
      <c r="JGV82">
        <v>7076358</v>
      </c>
      <c r="JGW82">
        <v>0</v>
      </c>
      <c r="JGX82" t="s">
        <v>254</v>
      </c>
      <c r="JGY82">
        <v>830037946</v>
      </c>
      <c r="JGZ82" t="s">
        <v>260</v>
      </c>
      <c r="JHA82">
        <v>131</v>
      </c>
      <c r="JHB82" t="s">
        <v>261</v>
      </c>
      <c r="JHC82">
        <v>54018</v>
      </c>
      <c r="JHD82">
        <v>0</v>
      </c>
      <c r="JHE82">
        <v>7076358</v>
      </c>
      <c r="JHF82" t="s">
        <v>262</v>
      </c>
      <c r="JHG82" t="s">
        <v>196</v>
      </c>
      <c r="JHH82">
        <v>53248</v>
      </c>
      <c r="JHI82" t="s">
        <v>260</v>
      </c>
      <c r="JHJ82">
        <v>44048</v>
      </c>
      <c r="JHK82">
        <v>44048</v>
      </c>
      <c r="JHL82">
        <v>7076358</v>
      </c>
      <c r="JHM82">
        <v>0</v>
      </c>
      <c r="JHN82" t="s">
        <v>254</v>
      </c>
      <c r="JHO82">
        <v>830037946</v>
      </c>
      <c r="JHP82" t="s">
        <v>260</v>
      </c>
      <c r="JHQ82">
        <v>131</v>
      </c>
      <c r="JHR82" t="s">
        <v>261</v>
      </c>
      <c r="JHS82">
        <v>54018</v>
      </c>
      <c r="JHT82">
        <v>0</v>
      </c>
      <c r="JHU82">
        <v>7076358</v>
      </c>
      <c r="JHV82" t="s">
        <v>262</v>
      </c>
      <c r="JHW82" t="s">
        <v>196</v>
      </c>
      <c r="JHX82">
        <v>53248</v>
      </c>
      <c r="JHY82" t="s">
        <v>260</v>
      </c>
      <c r="JHZ82">
        <v>44048</v>
      </c>
      <c r="JIA82">
        <v>44048</v>
      </c>
      <c r="JIB82">
        <v>7076358</v>
      </c>
      <c r="JIC82">
        <v>0</v>
      </c>
      <c r="JID82" t="s">
        <v>254</v>
      </c>
      <c r="JIE82">
        <v>830037946</v>
      </c>
      <c r="JIF82" t="s">
        <v>260</v>
      </c>
      <c r="JIG82">
        <v>131</v>
      </c>
      <c r="JIH82" t="s">
        <v>261</v>
      </c>
      <c r="JII82">
        <v>54018</v>
      </c>
      <c r="JIJ82">
        <v>0</v>
      </c>
      <c r="JIK82">
        <v>7076358</v>
      </c>
      <c r="JIL82" t="s">
        <v>262</v>
      </c>
      <c r="JIM82" t="s">
        <v>196</v>
      </c>
      <c r="JIN82">
        <v>53248</v>
      </c>
      <c r="JIO82" t="s">
        <v>260</v>
      </c>
      <c r="JIP82">
        <v>44048</v>
      </c>
      <c r="JIQ82">
        <v>44048</v>
      </c>
      <c r="JIR82">
        <v>7076358</v>
      </c>
      <c r="JIS82">
        <v>0</v>
      </c>
      <c r="JIT82" t="s">
        <v>254</v>
      </c>
      <c r="JIU82">
        <v>830037946</v>
      </c>
      <c r="JIV82" t="s">
        <v>260</v>
      </c>
      <c r="JIW82">
        <v>131</v>
      </c>
      <c r="JIX82" t="s">
        <v>261</v>
      </c>
      <c r="JIY82">
        <v>54018</v>
      </c>
      <c r="JIZ82">
        <v>0</v>
      </c>
      <c r="JJA82">
        <v>7076358</v>
      </c>
      <c r="JJB82" t="s">
        <v>262</v>
      </c>
      <c r="JJC82" t="s">
        <v>196</v>
      </c>
      <c r="JJD82">
        <v>53248</v>
      </c>
      <c r="JJE82" t="s">
        <v>260</v>
      </c>
      <c r="JJF82">
        <v>44048</v>
      </c>
      <c r="JJG82">
        <v>44048</v>
      </c>
      <c r="JJH82">
        <v>7076358</v>
      </c>
      <c r="JJI82">
        <v>0</v>
      </c>
      <c r="JJJ82" t="s">
        <v>254</v>
      </c>
      <c r="JJK82">
        <v>830037946</v>
      </c>
      <c r="JJL82" t="s">
        <v>260</v>
      </c>
      <c r="JJM82">
        <v>131</v>
      </c>
      <c r="JJN82" t="s">
        <v>261</v>
      </c>
      <c r="JJO82">
        <v>54018</v>
      </c>
      <c r="JJP82">
        <v>0</v>
      </c>
      <c r="JJQ82">
        <v>7076358</v>
      </c>
      <c r="JJR82" t="s">
        <v>262</v>
      </c>
      <c r="JJS82" t="s">
        <v>196</v>
      </c>
      <c r="JJT82">
        <v>53248</v>
      </c>
      <c r="JJU82" t="s">
        <v>260</v>
      </c>
      <c r="JJV82">
        <v>44048</v>
      </c>
      <c r="JJW82">
        <v>44048</v>
      </c>
      <c r="JJX82">
        <v>7076358</v>
      </c>
      <c r="JJY82">
        <v>0</v>
      </c>
      <c r="JJZ82" t="s">
        <v>254</v>
      </c>
      <c r="JKA82">
        <v>830037946</v>
      </c>
      <c r="JKB82" t="s">
        <v>260</v>
      </c>
      <c r="JKC82">
        <v>131</v>
      </c>
      <c r="JKD82" t="s">
        <v>261</v>
      </c>
      <c r="JKE82">
        <v>54018</v>
      </c>
      <c r="JKF82">
        <v>0</v>
      </c>
      <c r="JKG82">
        <v>7076358</v>
      </c>
      <c r="JKH82" t="s">
        <v>262</v>
      </c>
      <c r="JKI82" t="s">
        <v>196</v>
      </c>
      <c r="JKJ82">
        <v>53248</v>
      </c>
      <c r="JKK82" t="s">
        <v>260</v>
      </c>
      <c r="JKL82">
        <v>44048</v>
      </c>
      <c r="JKM82">
        <v>44048</v>
      </c>
      <c r="JKN82">
        <v>7076358</v>
      </c>
      <c r="JKO82">
        <v>0</v>
      </c>
      <c r="JKP82" t="s">
        <v>254</v>
      </c>
      <c r="JKQ82">
        <v>830037946</v>
      </c>
      <c r="JKR82" t="s">
        <v>260</v>
      </c>
      <c r="JKS82">
        <v>131</v>
      </c>
      <c r="JKT82" t="s">
        <v>261</v>
      </c>
      <c r="JKU82">
        <v>54018</v>
      </c>
      <c r="JKV82">
        <v>0</v>
      </c>
      <c r="JKW82">
        <v>7076358</v>
      </c>
      <c r="JKX82" t="s">
        <v>262</v>
      </c>
      <c r="JKY82" t="s">
        <v>196</v>
      </c>
      <c r="JKZ82">
        <v>53248</v>
      </c>
      <c r="JLA82" t="s">
        <v>260</v>
      </c>
      <c r="JLB82">
        <v>44048</v>
      </c>
      <c r="JLC82">
        <v>44048</v>
      </c>
      <c r="JLD82">
        <v>7076358</v>
      </c>
      <c r="JLE82">
        <v>0</v>
      </c>
      <c r="JLF82" t="s">
        <v>254</v>
      </c>
      <c r="JLG82">
        <v>830037946</v>
      </c>
      <c r="JLH82" t="s">
        <v>260</v>
      </c>
      <c r="JLI82">
        <v>131</v>
      </c>
      <c r="JLJ82" t="s">
        <v>261</v>
      </c>
      <c r="JLK82">
        <v>54018</v>
      </c>
      <c r="JLL82">
        <v>0</v>
      </c>
      <c r="JLM82">
        <v>7076358</v>
      </c>
      <c r="JLN82" t="s">
        <v>262</v>
      </c>
      <c r="JLO82" t="s">
        <v>196</v>
      </c>
      <c r="JLP82">
        <v>53248</v>
      </c>
      <c r="JLQ82" t="s">
        <v>260</v>
      </c>
      <c r="JLR82">
        <v>44048</v>
      </c>
      <c r="JLS82">
        <v>44048</v>
      </c>
      <c r="JLT82">
        <v>7076358</v>
      </c>
      <c r="JLU82">
        <v>0</v>
      </c>
      <c r="JLV82" t="s">
        <v>254</v>
      </c>
      <c r="JLW82">
        <v>830037946</v>
      </c>
      <c r="JLX82" t="s">
        <v>260</v>
      </c>
      <c r="JLY82">
        <v>131</v>
      </c>
      <c r="JLZ82" t="s">
        <v>261</v>
      </c>
      <c r="JMA82">
        <v>54018</v>
      </c>
      <c r="JMB82">
        <v>0</v>
      </c>
      <c r="JMC82">
        <v>7076358</v>
      </c>
      <c r="JMD82" t="s">
        <v>262</v>
      </c>
      <c r="JME82" t="s">
        <v>196</v>
      </c>
      <c r="JMF82">
        <v>53248</v>
      </c>
      <c r="JMG82" t="s">
        <v>260</v>
      </c>
      <c r="JMH82">
        <v>44048</v>
      </c>
      <c r="JMI82">
        <v>44048</v>
      </c>
      <c r="JMJ82">
        <v>7076358</v>
      </c>
      <c r="JMK82">
        <v>0</v>
      </c>
      <c r="JML82" t="s">
        <v>254</v>
      </c>
      <c r="JMM82">
        <v>830037946</v>
      </c>
      <c r="JMN82" t="s">
        <v>260</v>
      </c>
      <c r="JMO82">
        <v>131</v>
      </c>
      <c r="JMP82" t="s">
        <v>261</v>
      </c>
      <c r="JMQ82">
        <v>54018</v>
      </c>
      <c r="JMR82">
        <v>0</v>
      </c>
      <c r="JMS82">
        <v>7076358</v>
      </c>
      <c r="JMT82" t="s">
        <v>262</v>
      </c>
      <c r="JMU82" t="s">
        <v>196</v>
      </c>
      <c r="JMV82">
        <v>53248</v>
      </c>
      <c r="JMW82" t="s">
        <v>260</v>
      </c>
      <c r="JMX82">
        <v>44048</v>
      </c>
      <c r="JMY82">
        <v>44048</v>
      </c>
      <c r="JMZ82">
        <v>7076358</v>
      </c>
      <c r="JNA82">
        <v>0</v>
      </c>
      <c r="JNB82" t="s">
        <v>254</v>
      </c>
      <c r="JNC82">
        <v>830037946</v>
      </c>
      <c r="JND82" t="s">
        <v>260</v>
      </c>
      <c r="JNE82">
        <v>131</v>
      </c>
      <c r="JNF82" t="s">
        <v>261</v>
      </c>
      <c r="JNG82">
        <v>54018</v>
      </c>
      <c r="JNH82">
        <v>0</v>
      </c>
      <c r="JNI82">
        <v>7076358</v>
      </c>
      <c r="JNJ82" t="s">
        <v>262</v>
      </c>
      <c r="JNK82" t="s">
        <v>196</v>
      </c>
      <c r="JNL82">
        <v>53248</v>
      </c>
      <c r="JNM82" t="s">
        <v>260</v>
      </c>
      <c r="JNN82">
        <v>44048</v>
      </c>
      <c r="JNO82">
        <v>44048</v>
      </c>
      <c r="JNP82">
        <v>7076358</v>
      </c>
      <c r="JNQ82">
        <v>0</v>
      </c>
      <c r="JNR82" t="s">
        <v>254</v>
      </c>
      <c r="JNS82">
        <v>830037946</v>
      </c>
      <c r="JNT82" t="s">
        <v>260</v>
      </c>
      <c r="JNU82">
        <v>131</v>
      </c>
      <c r="JNV82" t="s">
        <v>261</v>
      </c>
      <c r="JNW82">
        <v>54018</v>
      </c>
      <c r="JNX82">
        <v>0</v>
      </c>
      <c r="JNY82">
        <v>7076358</v>
      </c>
      <c r="JNZ82" t="s">
        <v>262</v>
      </c>
      <c r="JOA82" t="s">
        <v>196</v>
      </c>
      <c r="JOB82">
        <v>53248</v>
      </c>
      <c r="JOC82" t="s">
        <v>260</v>
      </c>
      <c r="JOD82">
        <v>44048</v>
      </c>
      <c r="JOE82">
        <v>44048</v>
      </c>
      <c r="JOF82">
        <v>7076358</v>
      </c>
      <c r="JOG82">
        <v>0</v>
      </c>
      <c r="JOH82" t="s">
        <v>254</v>
      </c>
      <c r="JOI82">
        <v>830037946</v>
      </c>
      <c r="JOJ82" t="s">
        <v>260</v>
      </c>
      <c r="JOK82">
        <v>131</v>
      </c>
      <c r="JOL82" t="s">
        <v>261</v>
      </c>
      <c r="JOM82">
        <v>54018</v>
      </c>
      <c r="JON82">
        <v>0</v>
      </c>
      <c r="JOO82">
        <v>7076358</v>
      </c>
      <c r="JOP82" t="s">
        <v>262</v>
      </c>
      <c r="JOQ82" t="s">
        <v>196</v>
      </c>
      <c r="JOR82">
        <v>53248</v>
      </c>
      <c r="JOS82" t="s">
        <v>260</v>
      </c>
      <c r="JOT82">
        <v>44048</v>
      </c>
      <c r="JOU82">
        <v>44048</v>
      </c>
      <c r="JOV82">
        <v>7076358</v>
      </c>
      <c r="JOW82">
        <v>0</v>
      </c>
      <c r="JOX82" t="s">
        <v>254</v>
      </c>
      <c r="JOY82">
        <v>830037946</v>
      </c>
      <c r="JOZ82" t="s">
        <v>260</v>
      </c>
      <c r="JPA82">
        <v>131</v>
      </c>
      <c r="JPB82" t="s">
        <v>261</v>
      </c>
      <c r="JPC82">
        <v>54018</v>
      </c>
      <c r="JPD82">
        <v>0</v>
      </c>
      <c r="JPE82">
        <v>7076358</v>
      </c>
      <c r="JPF82" t="s">
        <v>262</v>
      </c>
      <c r="JPG82" t="s">
        <v>196</v>
      </c>
      <c r="JPH82">
        <v>53248</v>
      </c>
      <c r="JPI82" t="s">
        <v>260</v>
      </c>
      <c r="JPJ82">
        <v>44048</v>
      </c>
      <c r="JPK82">
        <v>44048</v>
      </c>
      <c r="JPL82">
        <v>7076358</v>
      </c>
      <c r="JPM82">
        <v>0</v>
      </c>
      <c r="JPN82" t="s">
        <v>254</v>
      </c>
      <c r="JPO82">
        <v>830037946</v>
      </c>
      <c r="JPP82" t="s">
        <v>260</v>
      </c>
      <c r="JPQ82">
        <v>131</v>
      </c>
      <c r="JPR82" t="s">
        <v>261</v>
      </c>
      <c r="JPS82">
        <v>54018</v>
      </c>
      <c r="JPT82">
        <v>0</v>
      </c>
      <c r="JPU82">
        <v>7076358</v>
      </c>
      <c r="JPV82" t="s">
        <v>262</v>
      </c>
      <c r="JPW82" t="s">
        <v>196</v>
      </c>
      <c r="JPX82">
        <v>53248</v>
      </c>
      <c r="JPY82" t="s">
        <v>260</v>
      </c>
      <c r="JPZ82">
        <v>44048</v>
      </c>
      <c r="JQA82">
        <v>44048</v>
      </c>
      <c r="JQB82">
        <v>7076358</v>
      </c>
      <c r="JQC82">
        <v>0</v>
      </c>
      <c r="JQD82" t="s">
        <v>254</v>
      </c>
      <c r="JQE82">
        <v>830037946</v>
      </c>
      <c r="JQF82" t="s">
        <v>260</v>
      </c>
      <c r="JQG82">
        <v>131</v>
      </c>
      <c r="JQH82" t="s">
        <v>261</v>
      </c>
      <c r="JQI82">
        <v>54018</v>
      </c>
      <c r="JQJ82">
        <v>0</v>
      </c>
      <c r="JQK82">
        <v>7076358</v>
      </c>
      <c r="JQL82" t="s">
        <v>262</v>
      </c>
      <c r="JQM82" t="s">
        <v>196</v>
      </c>
      <c r="JQN82">
        <v>53248</v>
      </c>
      <c r="JQO82" t="s">
        <v>260</v>
      </c>
      <c r="JQP82">
        <v>44048</v>
      </c>
      <c r="JQQ82">
        <v>44048</v>
      </c>
      <c r="JQR82">
        <v>7076358</v>
      </c>
      <c r="JQS82">
        <v>0</v>
      </c>
      <c r="JQT82" t="s">
        <v>254</v>
      </c>
      <c r="JQU82">
        <v>830037946</v>
      </c>
      <c r="JQV82" t="s">
        <v>260</v>
      </c>
      <c r="JQW82">
        <v>131</v>
      </c>
      <c r="JQX82" t="s">
        <v>261</v>
      </c>
      <c r="JQY82">
        <v>54018</v>
      </c>
      <c r="JQZ82">
        <v>0</v>
      </c>
      <c r="JRA82">
        <v>7076358</v>
      </c>
      <c r="JRB82" t="s">
        <v>262</v>
      </c>
      <c r="JRC82" t="s">
        <v>196</v>
      </c>
      <c r="JRD82">
        <v>53248</v>
      </c>
      <c r="JRE82" t="s">
        <v>260</v>
      </c>
      <c r="JRF82">
        <v>44048</v>
      </c>
      <c r="JRG82">
        <v>44048</v>
      </c>
      <c r="JRH82">
        <v>7076358</v>
      </c>
      <c r="JRI82">
        <v>0</v>
      </c>
      <c r="JRJ82" t="s">
        <v>254</v>
      </c>
      <c r="JRK82">
        <v>830037946</v>
      </c>
      <c r="JRL82" t="s">
        <v>260</v>
      </c>
      <c r="JRM82">
        <v>131</v>
      </c>
      <c r="JRN82" t="s">
        <v>261</v>
      </c>
      <c r="JRO82">
        <v>54018</v>
      </c>
      <c r="JRP82">
        <v>0</v>
      </c>
      <c r="JRQ82">
        <v>7076358</v>
      </c>
      <c r="JRR82" t="s">
        <v>262</v>
      </c>
      <c r="JRS82" t="s">
        <v>196</v>
      </c>
      <c r="JRT82">
        <v>53248</v>
      </c>
      <c r="JRU82" t="s">
        <v>260</v>
      </c>
      <c r="JRV82">
        <v>44048</v>
      </c>
      <c r="JRW82">
        <v>44048</v>
      </c>
      <c r="JRX82">
        <v>7076358</v>
      </c>
      <c r="JRY82">
        <v>0</v>
      </c>
      <c r="JRZ82" t="s">
        <v>254</v>
      </c>
      <c r="JSA82">
        <v>830037946</v>
      </c>
      <c r="JSB82" t="s">
        <v>260</v>
      </c>
      <c r="JSC82">
        <v>131</v>
      </c>
      <c r="JSD82" t="s">
        <v>261</v>
      </c>
      <c r="JSE82">
        <v>54018</v>
      </c>
      <c r="JSF82">
        <v>0</v>
      </c>
      <c r="JSG82">
        <v>7076358</v>
      </c>
      <c r="JSH82" t="s">
        <v>262</v>
      </c>
      <c r="JSI82" t="s">
        <v>196</v>
      </c>
      <c r="JSJ82">
        <v>53248</v>
      </c>
      <c r="JSK82" t="s">
        <v>260</v>
      </c>
      <c r="JSL82">
        <v>44048</v>
      </c>
      <c r="JSM82">
        <v>44048</v>
      </c>
      <c r="JSN82">
        <v>7076358</v>
      </c>
      <c r="JSO82">
        <v>0</v>
      </c>
      <c r="JSP82" t="s">
        <v>254</v>
      </c>
      <c r="JSQ82">
        <v>830037946</v>
      </c>
      <c r="JSR82" t="s">
        <v>260</v>
      </c>
      <c r="JSS82">
        <v>131</v>
      </c>
      <c r="JST82" t="s">
        <v>261</v>
      </c>
      <c r="JSU82">
        <v>54018</v>
      </c>
      <c r="JSV82">
        <v>0</v>
      </c>
      <c r="JSW82">
        <v>7076358</v>
      </c>
      <c r="JSX82" t="s">
        <v>262</v>
      </c>
      <c r="JSY82" t="s">
        <v>196</v>
      </c>
      <c r="JSZ82">
        <v>53248</v>
      </c>
      <c r="JTA82" t="s">
        <v>260</v>
      </c>
      <c r="JTB82">
        <v>44048</v>
      </c>
      <c r="JTC82">
        <v>44048</v>
      </c>
      <c r="JTD82">
        <v>7076358</v>
      </c>
      <c r="JTE82">
        <v>0</v>
      </c>
      <c r="JTF82" t="s">
        <v>254</v>
      </c>
      <c r="JTG82">
        <v>830037946</v>
      </c>
      <c r="JTH82" t="s">
        <v>260</v>
      </c>
      <c r="JTI82">
        <v>131</v>
      </c>
      <c r="JTJ82" t="s">
        <v>261</v>
      </c>
      <c r="JTK82">
        <v>54018</v>
      </c>
      <c r="JTL82">
        <v>0</v>
      </c>
      <c r="JTM82">
        <v>7076358</v>
      </c>
      <c r="JTN82" t="s">
        <v>262</v>
      </c>
      <c r="JTO82" t="s">
        <v>196</v>
      </c>
      <c r="JTP82">
        <v>53248</v>
      </c>
      <c r="JTQ82" t="s">
        <v>260</v>
      </c>
      <c r="JTR82">
        <v>44048</v>
      </c>
      <c r="JTS82">
        <v>44048</v>
      </c>
      <c r="JTT82">
        <v>7076358</v>
      </c>
      <c r="JTU82">
        <v>0</v>
      </c>
      <c r="JTV82" t="s">
        <v>254</v>
      </c>
      <c r="JTW82">
        <v>830037946</v>
      </c>
      <c r="JTX82" t="s">
        <v>260</v>
      </c>
      <c r="JTY82">
        <v>131</v>
      </c>
      <c r="JTZ82" t="s">
        <v>261</v>
      </c>
      <c r="JUA82">
        <v>54018</v>
      </c>
      <c r="JUB82">
        <v>0</v>
      </c>
      <c r="JUC82">
        <v>7076358</v>
      </c>
      <c r="JUD82" t="s">
        <v>262</v>
      </c>
      <c r="JUE82" t="s">
        <v>196</v>
      </c>
      <c r="JUF82">
        <v>53248</v>
      </c>
      <c r="JUG82" t="s">
        <v>260</v>
      </c>
      <c r="JUH82">
        <v>44048</v>
      </c>
      <c r="JUI82">
        <v>44048</v>
      </c>
      <c r="JUJ82">
        <v>7076358</v>
      </c>
      <c r="JUK82">
        <v>0</v>
      </c>
      <c r="JUL82" t="s">
        <v>254</v>
      </c>
      <c r="JUM82">
        <v>830037946</v>
      </c>
      <c r="JUN82" t="s">
        <v>260</v>
      </c>
      <c r="JUO82">
        <v>131</v>
      </c>
      <c r="JUP82" t="s">
        <v>261</v>
      </c>
      <c r="JUQ82">
        <v>54018</v>
      </c>
      <c r="JUR82">
        <v>0</v>
      </c>
      <c r="JUS82">
        <v>7076358</v>
      </c>
      <c r="JUT82" t="s">
        <v>262</v>
      </c>
      <c r="JUU82" t="s">
        <v>196</v>
      </c>
      <c r="JUV82">
        <v>53248</v>
      </c>
      <c r="JUW82" t="s">
        <v>260</v>
      </c>
      <c r="JUX82">
        <v>44048</v>
      </c>
      <c r="JUY82">
        <v>44048</v>
      </c>
      <c r="JUZ82">
        <v>7076358</v>
      </c>
      <c r="JVA82">
        <v>0</v>
      </c>
      <c r="JVB82" t="s">
        <v>254</v>
      </c>
      <c r="JVC82">
        <v>830037946</v>
      </c>
      <c r="JVD82" t="s">
        <v>260</v>
      </c>
      <c r="JVE82">
        <v>131</v>
      </c>
      <c r="JVF82" t="s">
        <v>261</v>
      </c>
      <c r="JVG82">
        <v>54018</v>
      </c>
      <c r="JVH82">
        <v>0</v>
      </c>
      <c r="JVI82">
        <v>7076358</v>
      </c>
      <c r="JVJ82" t="s">
        <v>262</v>
      </c>
      <c r="JVK82" t="s">
        <v>196</v>
      </c>
      <c r="JVL82">
        <v>53248</v>
      </c>
      <c r="JVM82" t="s">
        <v>260</v>
      </c>
      <c r="JVN82">
        <v>44048</v>
      </c>
      <c r="JVO82">
        <v>44048</v>
      </c>
      <c r="JVP82">
        <v>7076358</v>
      </c>
      <c r="JVQ82">
        <v>0</v>
      </c>
      <c r="JVR82" t="s">
        <v>254</v>
      </c>
      <c r="JVS82">
        <v>830037946</v>
      </c>
      <c r="JVT82" t="s">
        <v>260</v>
      </c>
      <c r="JVU82">
        <v>131</v>
      </c>
      <c r="JVV82" t="s">
        <v>261</v>
      </c>
      <c r="JVW82">
        <v>54018</v>
      </c>
      <c r="JVX82">
        <v>0</v>
      </c>
      <c r="JVY82">
        <v>7076358</v>
      </c>
      <c r="JVZ82" t="s">
        <v>262</v>
      </c>
      <c r="JWA82" t="s">
        <v>196</v>
      </c>
      <c r="JWB82">
        <v>53248</v>
      </c>
      <c r="JWC82" t="s">
        <v>260</v>
      </c>
      <c r="JWD82">
        <v>44048</v>
      </c>
      <c r="JWE82">
        <v>44048</v>
      </c>
      <c r="JWF82">
        <v>7076358</v>
      </c>
      <c r="JWG82">
        <v>0</v>
      </c>
      <c r="JWH82" t="s">
        <v>254</v>
      </c>
      <c r="JWI82">
        <v>830037946</v>
      </c>
      <c r="JWJ82" t="s">
        <v>260</v>
      </c>
      <c r="JWK82">
        <v>131</v>
      </c>
      <c r="JWL82" t="s">
        <v>261</v>
      </c>
      <c r="JWM82">
        <v>54018</v>
      </c>
      <c r="JWN82">
        <v>0</v>
      </c>
      <c r="JWO82">
        <v>7076358</v>
      </c>
      <c r="JWP82" t="s">
        <v>262</v>
      </c>
      <c r="JWQ82" t="s">
        <v>196</v>
      </c>
      <c r="JWR82">
        <v>53248</v>
      </c>
      <c r="JWS82" t="s">
        <v>260</v>
      </c>
      <c r="JWT82">
        <v>44048</v>
      </c>
      <c r="JWU82">
        <v>44048</v>
      </c>
      <c r="JWV82">
        <v>7076358</v>
      </c>
      <c r="JWW82">
        <v>0</v>
      </c>
      <c r="JWX82" t="s">
        <v>254</v>
      </c>
      <c r="JWY82">
        <v>830037946</v>
      </c>
      <c r="JWZ82" t="s">
        <v>260</v>
      </c>
      <c r="JXA82">
        <v>131</v>
      </c>
      <c r="JXB82" t="s">
        <v>261</v>
      </c>
      <c r="JXC82">
        <v>54018</v>
      </c>
      <c r="JXD82">
        <v>0</v>
      </c>
      <c r="JXE82">
        <v>7076358</v>
      </c>
      <c r="JXF82" t="s">
        <v>262</v>
      </c>
      <c r="JXG82" t="s">
        <v>196</v>
      </c>
      <c r="JXH82">
        <v>53248</v>
      </c>
      <c r="JXI82" t="s">
        <v>260</v>
      </c>
      <c r="JXJ82">
        <v>44048</v>
      </c>
      <c r="JXK82">
        <v>44048</v>
      </c>
      <c r="JXL82">
        <v>7076358</v>
      </c>
      <c r="JXM82">
        <v>0</v>
      </c>
      <c r="JXN82" t="s">
        <v>254</v>
      </c>
      <c r="JXO82">
        <v>830037946</v>
      </c>
      <c r="JXP82" t="s">
        <v>260</v>
      </c>
      <c r="JXQ82">
        <v>131</v>
      </c>
      <c r="JXR82" t="s">
        <v>261</v>
      </c>
      <c r="JXS82">
        <v>54018</v>
      </c>
      <c r="JXT82">
        <v>0</v>
      </c>
      <c r="JXU82">
        <v>7076358</v>
      </c>
      <c r="JXV82" t="s">
        <v>262</v>
      </c>
      <c r="JXW82" t="s">
        <v>196</v>
      </c>
      <c r="JXX82">
        <v>53248</v>
      </c>
      <c r="JXY82" t="s">
        <v>260</v>
      </c>
      <c r="JXZ82">
        <v>44048</v>
      </c>
      <c r="JYA82">
        <v>44048</v>
      </c>
      <c r="JYB82">
        <v>7076358</v>
      </c>
      <c r="JYC82">
        <v>0</v>
      </c>
      <c r="JYD82" t="s">
        <v>254</v>
      </c>
      <c r="JYE82">
        <v>830037946</v>
      </c>
      <c r="JYF82" t="s">
        <v>260</v>
      </c>
      <c r="JYG82">
        <v>131</v>
      </c>
      <c r="JYH82" t="s">
        <v>261</v>
      </c>
      <c r="JYI82">
        <v>54018</v>
      </c>
      <c r="JYJ82">
        <v>0</v>
      </c>
      <c r="JYK82">
        <v>7076358</v>
      </c>
      <c r="JYL82" t="s">
        <v>262</v>
      </c>
      <c r="JYM82" t="s">
        <v>196</v>
      </c>
      <c r="JYN82">
        <v>53248</v>
      </c>
      <c r="JYO82" t="s">
        <v>260</v>
      </c>
      <c r="JYP82">
        <v>44048</v>
      </c>
      <c r="JYQ82">
        <v>44048</v>
      </c>
      <c r="JYR82">
        <v>7076358</v>
      </c>
      <c r="JYS82">
        <v>0</v>
      </c>
      <c r="JYT82" t="s">
        <v>254</v>
      </c>
      <c r="JYU82">
        <v>830037946</v>
      </c>
      <c r="JYV82" t="s">
        <v>260</v>
      </c>
      <c r="JYW82">
        <v>131</v>
      </c>
      <c r="JYX82" t="s">
        <v>261</v>
      </c>
      <c r="JYY82">
        <v>54018</v>
      </c>
      <c r="JYZ82">
        <v>0</v>
      </c>
      <c r="JZA82">
        <v>7076358</v>
      </c>
      <c r="JZB82" t="s">
        <v>262</v>
      </c>
      <c r="JZC82" t="s">
        <v>196</v>
      </c>
      <c r="JZD82">
        <v>53248</v>
      </c>
      <c r="JZE82" t="s">
        <v>260</v>
      </c>
      <c r="JZF82">
        <v>44048</v>
      </c>
      <c r="JZG82">
        <v>44048</v>
      </c>
      <c r="JZH82">
        <v>7076358</v>
      </c>
      <c r="JZI82">
        <v>0</v>
      </c>
      <c r="JZJ82" t="s">
        <v>254</v>
      </c>
      <c r="JZK82">
        <v>830037946</v>
      </c>
      <c r="JZL82" t="s">
        <v>260</v>
      </c>
      <c r="JZM82">
        <v>131</v>
      </c>
      <c r="JZN82" t="s">
        <v>261</v>
      </c>
      <c r="JZO82">
        <v>54018</v>
      </c>
      <c r="JZP82">
        <v>0</v>
      </c>
      <c r="JZQ82">
        <v>7076358</v>
      </c>
      <c r="JZR82" t="s">
        <v>262</v>
      </c>
      <c r="JZS82" t="s">
        <v>196</v>
      </c>
      <c r="JZT82">
        <v>53248</v>
      </c>
      <c r="JZU82" t="s">
        <v>260</v>
      </c>
      <c r="JZV82">
        <v>44048</v>
      </c>
      <c r="JZW82">
        <v>44048</v>
      </c>
      <c r="JZX82">
        <v>7076358</v>
      </c>
      <c r="JZY82">
        <v>0</v>
      </c>
      <c r="JZZ82" t="s">
        <v>254</v>
      </c>
      <c r="KAA82">
        <v>830037946</v>
      </c>
      <c r="KAB82" t="s">
        <v>260</v>
      </c>
      <c r="KAC82">
        <v>131</v>
      </c>
      <c r="KAD82" t="s">
        <v>261</v>
      </c>
      <c r="KAE82">
        <v>54018</v>
      </c>
      <c r="KAF82">
        <v>0</v>
      </c>
      <c r="KAG82">
        <v>7076358</v>
      </c>
      <c r="KAH82" t="s">
        <v>262</v>
      </c>
      <c r="KAI82" t="s">
        <v>196</v>
      </c>
      <c r="KAJ82">
        <v>53248</v>
      </c>
      <c r="KAK82" t="s">
        <v>260</v>
      </c>
      <c r="KAL82">
        <v>44048</v>
      </c>
      <c r="KAM82">
        <v>44048</v>
      </c>
      <c r="KAN82">
        <v>7076358</v>
      </c>
      <c r="KAO82">
        <v>0</v>
      </c>
      <c r="KAP82" t="s">
        <v>254</v>
      </c>
      <c r="KAQ82">
        <v>830037946</v>
      </c>
      <c r="KAR82" t="s">
        <v>260</v>
      </c>
      <c r="KAS82">
        <v>131</v>
      </c>
      <c r="KAT82" t="s">
        <v>261</v>
      </c>
      <c r="KAU82">
        <v>54018</v>
      </c>
      <c r="KAV82">
        <v>0</v>
      </c>
      <c r="KAW82">
        <v>7076358</v>
      </c>
      <c r="KAX82" t="s">
        <v>262</v>
      </c>
      <c r="KAY82" t="s">
        <v>196</v>
      </c>
      <c r="KAZ82">
        <v>53248</v>
      </c>
      <c r="KBA82" t="s">
        <v>260</v>
      </c>
      <c r="KBB82">
        <v>44048</v>
      </c>
      <c r="KBC82">
        <v>44048</v>
      </c>
      <c r="KBD82">
        <v>7076358</v>
      </c>
      <c r="KBE82">
        <v>0</v>
      </c>
      <c r="KBF82" t="s">
        <v>254</v>
      </c>
      <c r="KBG82">
        <v>830037946</v>
      </c>
      <c r="KBH82" t="s">
        <v>260</v>
      </c>
      <c r="KBI82">
        <v>131</v>
      </c>
      <c r="KBJ82" t="s">
        <v>261</v>
      </c>
      <c r="KBK82">
        <v>54018</v>
      </c>
      <c r="KBL82">
        <v>0</v>
      </c>
      <c r="KBM82">
        <v>7076358</v>
      </c>
      <c r="KBN82" t="s">
        <v>262</v>
      </c>
      <c r="KBO82" t="s">
        <v>196</v>
      </c>
      <c r="KBP82">
        <v>53248</v>
      </c>
      <c r="KBQ82" t="s">
        <v>260</v>
      </c>
      <c r="KBR82">
        <v>44048</v>
      </c>
      <c r="KBS82">
        <v>44048</v>
      </c>
      <c r="KBT82">
        <v>7076358</v>
      </c>
      <c r="KBU82">
        <v>0</v>
      </c>
      <c r="KBV82" t="s">
        <v>254</v>
      </c>
      <c r="KBW82">
        <v>830037946</v>
      </c>
      <c r="KBX82" t="s">
        <v>260</v>
      </c>
      <c r="KBY82">
        <v>131</v>
      </c>
      <c r="KBZ82" t="s">
        <v>261</v>
      </c>
      <c r="KCA82">
        <v>54018</v>
      </c>
      <c r="KCB82">
        <v>0</v>
      </c>
      <c r="KCC82">
        <v>7076358</v>
      </c>
      <c r="KCD82" t="s">
        <v>262</v>
      </c>
      <c r="KCE82" t="s">
        <v>196</v>
      </c>
      <c r="KCF82">
        <v>53248</v>
      </c>
      <c r="KCG82" t="s">
        <v>260</v>
      </c>
      <c r="KCH82">
        <v>44048</v>
      </c>
      <c r="KCI82">
        <v>44048</v>
      </c>
      <c r="KCJ82">
        <v>7076358</v>
      </c>
      <c r="KCK82">
        <v>0</v>
      </c>
      <c r="KCL82" t="s">
        <v>254</v>
      </c>
      <c r="KCM82">
        <v>830037946</v>
      </c>
      <c r="KCN82" t="s">
        <v>260</v>
      </c>
      <c r="KCO82">
        <v>131</v>
      </c>
      <c r="KCP82" t="s">
        <v>261</v>
      </c>
      <c r="KCQ82">
        <v>54018</v>
      </c>
      <c r="KCR82">
        <v>0</v>
      </c>
      <c r="KCS82">
        <v>7076358</v>
      </c>
      <c r="KCT82" t="s">
        <v>262</v>
      </c>
      <c r="KCU82" t="s">
        <v>196</v>
      </c>
      <c r="KCV82">
        <v>53248</v>
      </c>
      <c r="KCW82" t="s">
        <v>260</v>
      </c>
      <c r="KCX82">
        <v>44048</v>
      </c>
      <c r="KCY82">
        <v>44048</v>
      </c>
      <c r="KCZ82">
        <v>7076358</v>
      </c>
      <c r="KDA82">
        <v>0</v>
      </c>
      <c r="KDB82" t="s">
        <v>254</v>
      </c>
      <c r="KDC82">
        <v>830037946</v>
      </c>
      <c r="KDD82" t="s">
        <v>260</v>
      </c>
      <c r="KDE82">
        <v>131</v>
      </c>
      <c r="KDF82" t="s">
        <v>261</v>
      </c>
      <c r="KDG82">
        <v>54018</v>
      </c>
      <c r="KDH82">
        <v>0</v>
      </c>
      <c r="KDI82">
        <v>7076358</v>
      </c>
      <c r="KDJ82" t="s">
        <v>262</v>
      </c>
      <c r="KDK82" t="s">
        <v>196</v>
      </c>
      <c r="KDL82">
        <v>53248</v>
      </c>
      <c r="KDM82" t="s">
        <v>260</v>
      </c>
      <c r="KDN82">
        <v>44048</v>
      </c>
      <c r="KDO82">
        <v>44048</v>
      </c>
      <c r="KDP82">
        <v>7076358</v>
      </c>
      <c r="KDQ82">
        <v>0</v>
      </c>
      <c r="KDR82" t="s">
        <v>254</v>
      </c>
      <c r="KDS82">
        <v>830037946</v>
      </c>
      <c r="KDT82" t="s">
        <v>260</v>
      </c>
      <c r="KDU82">
        <v>131</v>
      </c>
      <c r="KDV82" t="s">
        <v>261</v>
      </c>
      <c r="KDW82">
        <v>54018</v>
      </c>
      <c r="KDX82">
        <v>0</v>
      </c>
      <c r="KDY82">
        <v>7076358</v>
      </c>
      <c r="KDZ82" t="s">
        <v>262</v>
      </c>
      <c r="KEA82" t="s">
        <v>196</v>
      </c>
      <c r="KEB82">
        <v>53248</v>
      </c>
      <c r="KEC82" t="s">
        <v>260</v>
      </c>
      <c r="KED82">
        <v>44048</v>
      </c>
      <c r="KEE82">
        <v>44048</v>
      </c>
      <c r="KEF82">
        <v>7076358</v>
      </c>
      <c r="KEG82">
        <v>0</v>
      </c>
      <c r="KEH82" t="s">
        <v>254</v>
      </c>
      <c r="KEI82">
        <v>830037946</v>
      </c>
      <c r="KEJ82" t="s">
        <v>260</v>
      </c>
      <c r="KEK82">
        <v>131</v>
      </c>
      <c r="KEL82" t="s">
        <v>261</v>
      </c>
      <c r="KEM82">
        <v>54018</v>
      </c>
      <c r="KEN82">
        <v>0</v>
      </c>
      <c r="KEO82">
        <v>7076358</v>
      </c>
      <c r="KEP82" t="s">
        <v>262</v>
      </c>
      <c r="KEQ82" t="s">
        <v>196</v>
      </c>
      <c r="KER82">
        <v>53248</v>
      </c>
      <c r="KES82" t="s">
        <v>260</v>
      </c>
      <c r="KET82">
        <v>44048</v>
      </c>
      <c r="KEU82">
        <v>44048</v>
      </c>
      <c r="KEV82">
        <v>7076358</v>
      </c>
      <c r="KEW82">
        <v>0</v>
      </c>
      <c r="KEX82" t="s">
        <v>254</v>
      </c>
      <c r="KEY82">
        <v>830037946</v>
      </c>
      <c r="KEZ82" t="s">
        <v>260</v>
      </c>
      <c r="KFA82">
        <v>131</v>
      </c>
      <c r="KFB82" t="s">
        <v>261</v>
      </c>
      <c r="KFC82">
        <v>54018</v>
      </c>
      <c r="KFD82">
        <v>0</v>
      </c>
      <c r="KFE82">
        <v>7076358</v>
      </c>
      <c r="KFF82" t="s">
        <v>262</v>
      </c>
      <c r="KFG82" t="s">
        <v>196</v>
      </c>
      <c r="KFH82">
        <v>53248</v>
      </c>
      <c r="KFI82" t="s">
        <v>260</v>
      </c>
      <c r="KFJ82">
        <v>44048</v>
      </c>
      <c r="KFK82">
        <v>44048</v>
      </c>
      <c r="KFL82">
        <v>7076358</v>
      </c>
      <c r="KFM82">
        <v>0</v>
      </c>
      <c r="KFN82" t="s">
        <v>254</v>
      </c>
      <c r="KFO82">
        <v>830037946</v>
      </c>
      <c r="KFP82" t="s">
        <v>260</v>
      </c>
      <c r="KFQ82">
        <v>131</v>
      </c>
      <c r="KFR82" t="s">
        <v>261</v>
      </c>
      <c r="KFS82">
        <v>54018</v>
      </c>
      <c r="KFT82">
        <v>0</v>
      </c>
      <c r="KFU82">
        <v>7076358</v>
      </c>
      <c r="KFV82" t="s">
        <v>262</v>
      </c>
      <c r="KFW82" t="s">
        <v>196</v>
      </c>
      <c r="KFX82">
        <v>53248</v>
      </c>
      <c r="KFY82" t="s">
        <v>260</v>
      </c>
      <c r="KFZ82">
        <v>44048</v>
      </c>
      <c r="KGA82">
        <v>44048</v>
      </c>
      <c r="KGB82">
        <v>7076358</v>
      </c>
      <c r="KGC82">
        <v>0</v>
      </c>
      <c r="KGD82" t="s">
        <v>254</v>
      </c>
      <c r="KGE82">
        <v>830037946</v>
      </c>
      <c r="KGF82" t="s">
        <v>260</v>
      </c>
      <c r="KGG82">
        <v>131</v>
      </c>
      <c r="KGH82" t="s">
        <v>261</v>
      </c>
      <c r="KGI82">
        <v>54018</v>
      </c>
      <c r="KGJ82">
        <v>0</v>
      </c>
      <c r="KGK82">
        <v>7076358</v>
      </c>
      <c r="KGL82" t="s">
        <v>262</v>
      </c>
      <c r="KGM82" t="s">
        <v>196</v>
      </c>
      <c r="KGN82">
        <v>53248</v>
      </c>
      <c r="KGO82" t="s">
        <v>260</v>
      </c>
      <c r="KGP82">
        <v>44048</v>
      </c>
      <c r="KGQ82">
        <v>44048</v>
      </c>
      <c r="KGR82">
        <v>7076358</v>
      </c>
      <c r="KGS82">
        <v>0</v>
      </c>
      <c r="KGT82" t="s">
        <v>254</v>
      </c>
      <c r="KGU82">
        <v>830037946</v>
      </c>
      <c r="KGV82" t="s">
        <v>260</v>
      </c>
      <c r="KGW82">
        <v>131</v>
      </c>
      <c r="KGX82" t="s">
        <v>261</v>
      </c>
      <c r="KGY82">
        <v>54018</v>
      </c>
      <c r="KGZ82">
        <v>0</v>
      </c>
      <c r="KHA82">
        <v>7076358</v>
      </c>
      <c r="KHB82" t="s">
        <v>262</v>
      </c>
      <c r="KHC82" t="s">
        <v>196</v>
      </c>
      <c r="KHD82">
        <v>53248</v>
      </c>
      <c r="KHE82" t="s">
        <v>260</v>
      </c>
      <c r="KHF82">
        <v>44048</v>
      </c>
      <c r="KHG82">
        <v>44048</v>
      </c>
      <c r="KHH82">
        <v>7076358</v>
      </c>
      <c r="KHI82">
        <v>0</v>
      </c>
      <c r="KHJ82" t="s">
        <v>254</v>
      </c>
      <c r="KHK82">
        <v>830037946</v>
      </c>
      <c r="KHL82" t="s">
        <v>260</v>
      </c>
      <c r="KHM82">
        <v>131</v>
      </c>
      <c r="KHN82" t="s">
        <v>261</v>
      </c>
      <c r="KHO82">
        <v>54018</v>
      </c>
      <c r="KHP82">
        <v>0</v>
      </c>
      <c r="KHQ82">
        <v>7076358</v>
      </c>
      <c r="KHR82" t="s">
        <v>262</v>
      </c>
      <c r="KHS82" t="s">
        <v>196</v>
      </c>
      <c r="KHT82">
        <v>53248</v>
      </c>
      <c r="KHU82" t="s">
        <v>260</v>
      </c>
      <c r="KHV82">
        <v>44048</v>
      </c>
      <c r="KHW82">
        <v>44048</v>
      </c>
      <c r="KHX82">
        <v>7076358</v>
      </c>
      <c r="KHY82">
        <v>0</v>
      </c>
      <c r="KHZ82" t="s">
        <v>254</v>
      </c>
      <c r="KIA82">
        <v>830037946</v>
      </c>
      <c r="KIB82" t="s">
        <v>260</v>
      </c>
      <c r="KIC82">
        <v>131</v>
      </c>
      <c r="KID82" t="s">
        <v>261</v>
      </c>
      <c r="KIE82">
        <v>54018</v>
      </c>
      <c r="KIF82">
        <v>0</v>
      </c>
      <c r="KIG82">
        <v>7076358</v>
      </c>
      <c r="KIH82" t="s">
        <v>262</v>
      </c>
      <c r="KII82" t="s">
        <v>196</v>
      </c>
      <c r="KIJ82">
        <v>53248</v>
      </c>
      <c r="KIK82" t="s">
        <v>260</v>
      </c>
      <c r="KIL82">
        <v>44048</v>
      </c>
      <c r="KIM82">
        <v>44048</v>
      </c>
      <c r="KIN82">
        <v>7076358</v>
      </c>
      <c r="KIO82">
        <v>0</v>
      </c>
      <c r="KIP82" t="s">
        <v>254</v>
      </c>
      <c r="KIQ82">
        <v>830037946</v>
      </c>
      <c r="KIR82" t="s">
        <v>260</v>
      </c>
      <c r="KIS82">
        <v>131</v>
      </c>
      <c r="KIT82" t="s">
        <v>261</v>
      </c>
      <c r="KIU82">
        <v>54018</v>
      </c>
      <c r="KIV82">
        <v>0</v>
      </c>
      <c r="KIW82">
        <v>7076358</v>
      </c>
      <c r="KIX82" t="s">
        <v>262</v>
      </c>
      <c r="KIY82" t="s">
        <v>196</v>
      </c>
      <c r="KIZ82">
        <v>53248</v>
      </c>
      <c r="KJA82" t="s">
        <v>260</v>
      </c>
      <c r="KJB82">
        <v>44048</v>
      </c>
      <c r="KJC82">
        <v>44048</v>
      </c>
      <c r="KJD82">
        <v>7076358</v>
      </c>
      <c r="KJE82">
        <v>0</v>
      </c>
      <c r="KJF82" t="s">
        <v>254</v>
      </c>
      <c r="KJG82">
        <v>830037946</v>
      </c>
      <c r="KJH82" t="s">
        <v>260</v>
      </c>
      <c r="KJI82">
        <v>131</v>
      </c>
      <c r="KJJ82" t="s">
        <v>261</v>
      </c>
      <c r="KJK82">
        <v>54018</v>
      </c>
      <c r="KJL82">
        <v>0</v>
      </c>
      <c r="KJM82">
        <v>7076358</v>
      </c>
      <c r="KJN82" t="s">
        <v>262</v>
      </c>
      <c r="KJO82" t="s">
        <v>196</v>
      </c>
      <c r="KJP82">
        <v>53248</v>
      </c>
      <c r="KJQ82" t="s">
        <v>260</v>
      </c>
      <c r="KJR82">
        <v>44048</v>
      </c>
      <c r="KJS82">
        <v>44048</v>
      </c>
      <c r="KJT82">
        <v>7076358</v>
      </c>
      <c r="KJU82">
        <v>0</v>
      </c>
      <c r="KJV82" t="s">
        <v>254</v>
      </c>
      <c r="KJW82">
        <v>830037946</v>
      </c>
      <c r="KJX82" t="s">
        <v>260</v>
      </c>
      <c r="KJY82">
        <v>131</v>
      </c>
      <c r="KJZ82" t="s">
        <v>261</v>
      </c>
      <c r="KKA82">
        <v>54018</v>
      </c>
      <c r="KKB82">
        <v>0</v>
      </c>
      <c r="KKC82">
        <v>7076358</v>
      </c>
      <c r="KKD82" t="s">
        <v>262</v>
      </c>
      <c r="KKE82" t="s">
        <v>196</v>
      </c>
      <c r="KKF82">
        <v>53248</v>
      </c>
      <c r="KKG82" t="s">
        <v>260</v>
      </c>
      <c r="KKH82">
        <v>44048</v>
      </c>
      <c r="KKI82">
        <v>44048</v>
      </c>
      <c r="KKJ82">
        <v>7076358</v>
      </c>
      <c r="KKK82">
        <v>0</v>
      </c>
      <c r="KKL82" t="s">
        <v>254</v>
      </c>
      <c r="KKM82">
        <v>830037946</v>
      </c>
      <c r="KKN82" t="s">
        <v>260</v>
      </c>
      <c r="KKO82">
        <v>131</v>
      </c>
      <c r="KKP82" t="s">
        <v>261</v>
      </c>
      <c r="KKQ82">
        <v>54018</v>
      </c>
      <c r="KKR82">
        <v>0</v>
      </c>
      <c r="KKS82">
        <v>7076358</v>
      </c>
      <c r="KKT82" t="s">
        <v>262</v>
      </c>
      <c r="KKU82" t="s">
        <v>196</v>
      </c>
      <c r="KKV82">
        <v>53248</v>
      </c>
      <c r="KKW82" t="s">
        <v>260</v>
      </c>
      <c r="KKX82">
        <v>44048</v>
      </c>
      <c r="KKY82">
        <v>44048</v>
      </c>
      <c r="KKZ82">
        <v>7076358</v>
      </c>
      <c r="KLA82">
        <v>0</v>
      </c>
      <c r="KLB82" t="s">
        <v>254</v>
      </c>
      <c r="KLC82">
        <v>830037946</v>
      </c>
      <c r="KLD82" t="s">
        <v>260</v>
      </c>
      <c r="KLE82">
        <v>131</v>
      </c>
      <c r="KLF82" t="s">
        <v>261</v>
      </c>
      <c r="KLG82">
        <v>54018</v>
      </c>
      <c r="KLH82">
        <v>0</v>
      </c>
      <c r="KLI82">
        <v>7076358</v>
      </c>
      <c r="KLJ82" t="s">
        <v>262</v>
      </c>
      <c r="KLK82" t="s">
        <v>196</v>
      </c>
      <c r="KLL82">
        <v>53248</v>
      </c>
      <c r="KLM82" t="s">
        <v>260</v>
      </c>
      <c r="KLN82">
        <v>44048</v>
      </c>
      <c r="KLO82">
        <v>44048</v>
      </c>
      <c r="KLP82">
        <v>7076358</v>
      </c>
      <c r="KLQ82">
        <v>0</v>
      </c>
      <c r="KLR82" t="s">
        <v>254</v>
      </c>
      <c r="KLS82">
        <v>830037946</v>
      </c>
      <c r="KLT82" t="s">
        <v>260</v>
      </c>
      <c r="KLU82">
        <v>131</v>
      </c>
      <c r="KLV82" t="s">
        <v>261</v>
      </c>
      <c r="KLW82">
        <v>54018</v>
      </c>
      <c r="KLX82">
        <v>0</v>
      </c>
      <c r="KLY82">
        <v>7076358</v>
      </c>
      <c r="KLZ82" t="s">
        <v>262</v>
      </c>
      <c r="KMA82" t="s">
        <v>196</v>
      </c>
      <c r="KMB82">
        <v>53248</v>
      </c>
      <c r="KMC82" t="s">
        <v>260</v>
      </c>
      <c r="KMD82">
        <v>44048</v>
      </c>
      <c r="KME82">
        <v>44048</v>
      </c>
      <c r="KMF82">
        <v>7076358</v>
      </c>
      <c r="KMG82">
        <v>0</v>
      </c>
      <c r="KMH82" t="s">
        <v>254</v>
      </c>
      <c r="KMI82">
        <v>830037946</v>
      </c>
      <c r="KMJ82" t="s">
        <v>260</v>
      </c>
      <c r="KMK82">
        <v>131</v>
      </c>
      <c r="KML82" t="s">
        <v>261</v>
      </c>
      <c r="KMM82">
        <v>54018</v>
      </c>
      <c r="KMN82">
        <v>0</v>
      </c>
      <c r="KMO82">
        <v>7076358</v>
      </c>
      <c r="KMP82" t="s">
        <v>262</v>
      </c>
      <c r="KMQ82" t="s">
        <v>196</v>
      </c>
      <c r="KMR82">
        <v>53248</v>
      </c>
      <c r="KMS82" t="s">
        <v>260</v>
      </c>
      <c r="KMT82">
        <v>44048</v>
      </c>
      <c r="KMU82">
        <v>44048</v>
      </c>
      <c r="KMV82">
        <v>7076358</v>
      </c>
      <c r="KMW82">
        <v>0</v>
      </c>
      <c r="KMX82" t="s">
        <v>254</v>
      </c>
      <c r="KMY82">
        <v>830037946</v>
      </c>
      <c r="KMZ82" t="s">
        <v>260</v>
      </c>
      <c r="KNA82">
        <v>131</v>
      </c>
      <c r="KNB82" t="s">
        <v>261</v>
      </c>
      <c r="KNC82">
        <v>54018</v>
      </c>
      <c r="KND82">
        <v>0</v>
      </c>
      <c r="KNE82">
        <v>7076358</v>
      </c>
      <c r="KNF82" t="s">
        <v>262</v>
      </c>
      <c r="KNG82" t="s">
        <v>196</v>
      </c>
      <c r="KNH82">
        <v>53248</v>
      </c>
      <c r="KNI82" t="s">
        <v>260</v>
      </c>
      <c r="KNJ82">
        <v>44048</v>
      </c>
      <c r="KNK82">
        <v>44048</v>
      </c>
      <c r="KNL82">
        <v>7076358</v>
      </c>
      <c r="KNM82">
        <v>0</v>
      </c>
      <c r="KNN82" t="s">
        <v>254</v>
      </c>
      <c r="KNO82">
        <v>830037946</v>
      </c>
      <c r="KNP82" t="s">
        <v>260</v>
      </c>
      <c r="KNQ82">
        <v>131</v>
      </c>
      <c r="KNR82" t="s">
        <v>261</v>
      </c>
      <c r="KNS82">
        <v>54018</v>
      </c>
      <c r="KNT82">
        <v>0</v>
      </c>
      <c r="KNU82">
        <v>7076358</v>
      </c>
      <c r="KNV82" t="s">
        <v>262</v>
      </c>
      <c r="KNW82" t="s">
        <v>196</v>
      </c>
      <c r="KNX82">
        <v>53248</v>
      </c>
      <c r="KNY82" t="s">
        <v>260</v>
      </c>
      <c r="KNZ82">
        <v>44048</v>
      </c>
      <c r="KOA82">
        <v>44048</v>
      </c>
      <c r="KOB82">
        <v>7076358</v>
      </c>
      <c r="KOC82">
        <v>0</v>
      </c>
      <c r="KOD82" t="s">
        <v>254</v>
      </c>
      <c r="KOE82">
        <v>830037946</v>
      </c>
      <c r="KOF82" t="s">
        <v>260</v>
      </c>
      <c r="KOG82">
        <v>131</v>
      </c>
      <c r="KOH82" t="s">
        <v>261</v>
      </c>
      <c r="KOI82">
        <v>54018</v>
      </c>
      <c r="KOJ82">
        <v>0</v>
      </c>
      <c r="KOK82">
        <v>7076358</v>
      </c>
      <c r="KOL82" t="s">
        <v>262</v>
      </c>
      <c r="KOM82" t="s">
        <v>196</v>
      </c>
      <c r="KON82">
        <v>53248</v>
      </c>
      <c r="KOO82" t="s">
        <v>260</v>
      </c>
      <c r="KOP82">
        <v>44048</v>
      </c>
      <c r="KOQ82">
        <v>44048</v>
      </c>
      <c r="KOR82">
        <v>7076358</v>
      </c>
      <c r="KOS82">
        <v>0</v>
      </c>
      <c r="KOT82" t="s">
        <v>254</v>
      </c>
      <c r="KOU82">
        <v>830037946</v>
      </c>
      <c r="KOV82" t="s">
        <v>260</v>
      </c>
      <c r="KOW82">
        <v>131</v>
      </c>
      <c r="KOX82" t="s">
        <v>261</v>
      </c>
      <c r="KOY82">
        <v>54018</v>
      </c>
      <c r="KOZ82">
        <v>0</v>
      </c>
      <c r="KPA82">
        <v>7076358</v>
      </c>
      <c r="KPB82" t="s">
        <v>262</v>
      </c>
      <c r="KPC82" t="s">
        <v>196</v>
      </c>
      <c r="KPD82">
        <v>53248</v>
      </c>
      <c r="KPE82" t="s">
        <v>260</v>
      </c>
      <c r="KPF82">
        <v>44048</v>
      </c>
      <c r="KPG82">
        <v>44048</v>
      </c>
      <c r="KPH82">
        <v>7076358</v>
      </c>
      <c r="KPI82">
        <v>0</v>
      </c>
      <c r="KPJ82" t="s">
        <v>254</v>
      </c>
      <c r="KPK82">
        <v>830037946</v>
      </c>
      <c r="KPL82" t="s">
        <v>260</v>
      </c>
      <c r="KPM82">
        <v>131</v>
      </c>
      <c r="KPN82" t="s">
        <v>261</v>
      </c>
      <c r="KPO82">
        <v>54018</v>
      </c>
      <c r="KPP82">
        <v>0</v>
      </c>
      <c r="KPQ82">
        <v>7076358</v>
      </c>
      <c r="KPR82" t="s">
        <v>262</v>
      </c>
      <c r="KPS82" t="s">
        <v>196</v>
      </c>
      <c r="KPT82">
        <v>53248</v>
      </c>
      <c r="KPU82" t="s">
        <v>260</v>
      </c>
      <c r="KPV82">
        <v>44048</v>
      </c>
      <c r="KPW82">
        <v>44048</v>
      </c>
      <c r="KPX82">
        <v>7076358</v>
      </c>
      <c r="KPY82">
        <v>0</v>
      </c>
      <c r="KPZ82" t="s">
        <v>254</v>
      </c>
      <c r="KQA82">
        <v>830037946</v>
      </c>
      <c r="KQB82" t="s">
        <v>260</v>
      </c>
      <c r="KQC82">
        <v>131</v>
      </c>
      <c r="KQD82" t="s">
        <v>261</v>
      </c>
      <c r="KQE82">
        <v>54018</v>
      </c>
      <c r="KQF82">
        <v>0</v>
      </c>
      <c r="KQG82">
        <v>7076358</v>
      </c>
      <c r="KQH82" t="s">
        <v>262</v>
      </c>
      <c r="KQI82" t="s">
        <v>196</v>
      </c>
      <c r="KQJ82">
        <v>53248</v>
      </c>
      <c r="KQK82" t="s">
        <v>260</v>
      </c>
      <c r="KQL82">
        <v>44048</v>
      </c>
      <c r="KQM82">
        <v>44048</v>
      </c>
      <c r="KQN82">
        <v>7076358</v>
      </c>
      <c r="KQO82">
        <v>0</v>
      </c>
      <c r="KQP82" t="s">
        <v>254</v>
      </c>
      <c r="KQQ82">
        <v>830037946</v>
      </c>
      <c r="KQR82" t="s">
        <v>260</v>
      </c>
      <c r="KQS82">
        <v>131</v>
      </c>
      <c r="KQT82" t="s">
        <v>261</v>
      </c>
      <c r="KQU82">
        <v>54018</v>
      </c>
      <c r="KQV82">
        <v>0</v>
      </c>
      <c r="KQW82">
        <v>7076358</v>
      </c>
      <c r="KQX82" t="s">
        <v>262</v>
      </c>
      <c r="KQY82" t="s">
        <v>196</v>
      </c>
      <c r="KQZ82">
        <v>53248</v>
      </c>
      <c r="KRA82" t="s">
        <v>260</v>
      </c>
      <c r="KRB82">
        <v>44048</v>
      </c>
      <c r="KRC82">
        <v>44048</v>
      </c>
      <c r="KRD82">
        <v>7076358</v>
      </c>
      <c r="KRE82">
        <v>0</v>
      </c>
      <c r="KRF82" t="s">
        <v>254</v>
      </c>
      <c r="KRG82">
        <v>830037946</v>
      </c>
      <c r="KRH82" t="s">
        <v>260</v>
      </c>
      <c r="KRI82">
        <v>131</v>
      </c>
      <c r="KRJ82" t="s">
        <v>261</v>
      </c>
      <c r="KRK82">
        <v>54018</v>
      </c>
      <c r="KRL82">
        <v>0</v>
      </c>
      <c r="KRM82">
        <v>7076358</v>
      </c>
      <c r="KRN82" t="s">
        <v>262</v>
      </c>
      <c r="KRO82" t="s">
        <v>196</v>
      </c>
      <c r="KRP82">
        <v>53248</v>
      </c>
      <c r="KRQ82" t="s">
        <v>260</v>
      </c>
      <c r="KRR82">
        <v>44048</v>
      </c>
      <c r="KRS82">
        <v>44048</v>
      </c>
      <c r="KRT82">
        <v>7076358</v>
      </c>
      <c r="KRU82">
        <v>0</v>
      </c>
      <c r="KRV82" t="s">
        <v>254</v>
      </c>
      <c r="KRW82">
        <v>830037946</v>
      </c>
      <c r="KRX82" t="s">
        <v>260</v>
      </c>
      <c r="KRY82">
        <v>131</v>
      </c>
      <c r="KRZ82" t="s">
        <v>261</v>
      </c>
      <c r="KSA82">
        <v>54018</v>
      </c>
      <c r="KSB82">
        <v>0</v>
      </c>
      <c r="KSC82">
        <v>7076358</v>
      </c>
      <c r="KSD82" t="s">
        <v>262</v>
      </c>
      <c r="KSE82" t="s">
        <v>196</v>
      </c>
      <c r="KSF82">
        <v>53248</v>
      </c>
      <c r="KSG82" t="s">
        <v>260</v>
      </c>
      <c r="KSH82">
        <v>44048</v>
      </c>
      <c r="KSI82">
        <v>44048</v>
      </c>
      <c r="KSJ82">
        <v>7076358</v>
      </c>
      <c r="KSK82">
        <v>0</v>
      </c>
      <c r="KSL82" t="s">
        <v>254</v>
      </c>
      <c r="KSM82">
        <v>830037946</v>
      </c>
      <c r="KSN82" t="s">
        <v>260</v>
      </c>
      <c r="KSO82">
        <v>131</v>
      </c>
      <c r="KSP82" t="s">
        <v>261</v>
      </c>
      <c r="KSQ82">
        <v>54018</v>
      </c>
      <c r="KSR82">
        <v>0</v>
      </c>
      <c r="KSS82">
        <v>7076358</v>
      </c>
      <c r="KST82" t="s">
        <v>262</v>
      </c>
      <c r="KSU82" t="s">
        <v>196</v>
      </c>
      <c r="KSV82">
        <v>53248</v>
      </c>
      <c r="KSW82" t="s">
        <v>260</v>
      </c>
      <c r="KSX82">
        <v>44048</v>
      </c>
      <c r="KSY82">
        <v>44048</v>
      </c>
      <c r="KSZ82">
        <v>7076358</v>
      </c>
      <c r="KTA82">
        <v>0</v>
      </c>
      <c r="KTB82" t="s">
        <v>254</v>
      </c>
      <c r="KTC82">
        <v>830037946</v>
      </c>
      <c r="KTD82" t="s">
        <v>260</v>
      </c>
      <c r="KTE82">
        <v>131</v>
      </c>
      <c r="KTF82" t="s">
        <v>261</v>
      </c>
      <c r="KTG82">
        <v>54018</v>
      </c>
      <c r="KTH82">
        <v>0</v>
      </c>
      <c r="KTI82">
        <v>7076358</v>
      </c>
      <c r="KTJ82" t="s">
        <v>262</v>
      </c>
      <c r="KTK82" t="s">
        <v>196</v>
      </c>
      <c r="KTL82">
        <v>53248</v>
      </c>
      <c r="KTM82" t="s">
        <v>260</v>
      </c>
      <c r="KTN82">
        <v>44048</v>
      </c>
      <c r="KTO82">
        <v>44048</v>
      </c>
      <c r="KTP82">
        <v>7076358</v>
      </c>
      <c r="KTQ82">
        <v>0</v>
      </c>
      <c r="KTR82" t="s">
        <v>254</v>
      </c>
      <c r="KTS82">
        <v>830037946</v>
      </c>
      <c r="KTT82" t="s">
        <v>260</v>
      </c>
      <c r="KTU82">
        <v>131</v>
      </c>
      <c r="KTV82" t="s">
        <v>261</v>
      </c>
      <c r="KTW82">
        <v>54018</v>
      </c>
      <c r="KTX82">
        <v>0</v>
      </c>
      <c r="KTY82">
        <v>7076358</v>
      </c>
      <c r="KTZ82" t="s">
        <v>262</v>
      </c>
      <c r="KUA82" t="s">
        <v>196</v>
      </c>
      <c r="KUB82">
        <v>53248</v>
      </c>
      <c r="KUC82" t="s">
        <v>260</v>
      </c>
      <c r="KUD82">
        <v>44048</v>
      </c>
      <c r="KUE82">
        <v>44048</v>
      </c>
      <c r="KUF82">
        <v>7076358</v>
      </c>
      <c r="KUG82">
        <v>0</v>
      </c>
      <c r="KUH82" t="s">
        <v>254</v>
      </c>
      <c r="KUI82">
        <v>830037946</v>
      </c>
      <c r="KUJ82" t="s">
        <v>260</v>
      </c>
      <c r="KUK82">
        <v>131</v>
      </c>
      <c r="KUL82" t="s">
        <v>261</v>
      </c>
      <c r="KUM82">
        <v>54018</v>
      </c>
      <c r="KUN82">
        <v>0</v>
      </c>
      <c r="KUO82">
        <v>7076358</v>
      </c>
      <c r="KUP82" t="s">
        <v>262</v>
      </c>
      <c r="KUQ82" t="s">
        <v>196</v>
      </c>
      <c r="KUR82">
        <v>53248</v>
      </c>
      <c r="KUS82" t="s">
        <v>260</v>
      </c>
      <c r="KUT82">
        <v>44048</v>
      </c>
      <c r="KUU82">
        <v>44048</v>
      </c>
      <c r="KUV82">
        <v>7076358</v>
      </c>
      <c r="KUW82">
        <v>0</v>
      </c>
      <c r="KUX82" t="s">
        <v>254</v>
      </c>
      <c r="KUY82">
        <v>830037946</v>
      </c>
      <c r="KUZ82" t="s">
        <v>260</v>
      </c>
      <c r="KVA82">
        <v>131</v>
      </c>
      <c r="KVB82" t="s">
        <v>261</v>
      </c>
      <c r="KVC82">
        <v>54018</v>
      </c>
      <c r="KVD82">
        <v>0</v>
      </c>
      <c r="KVE82">
        <v>7076358</v>
      </c>
      <c r="KVF82" t="s">
        <v>262</v>
      </c>
      <c r="KVG82" t="s">
        <v>196</v>
      </c>
      <c r="KVH82">
        <v>53248</v>
      </c>
      <c r="KVI82" t="s">
        <v>260</v>
      </c>
      <c r="KVJ82">
        <v>44048</v>
      </c>
      <c r="KVK82">
        <v>44048</v>
      </c>
      <c r="KVL82">
        <v>7076358</v>
      </c>
      <c r="KVM82">
        <v>0</v>
      </c>
      <c r="KVN82" t="s">
        <v>254</v>
      </c>
      <c r="KVO82">
        <v>830037946</v>
      </c>
      <c r="KVP82" t="s">
        <v>260</v>
      </c>
      <c r="KVQ82">
        <v>131</v>
      </c>
      <c r="KVR82" t="s">
        <v>261</v>
      </c>
      <c r="KVS82">
        <v>54018</v>
      </c>
      <c r="KVT82">
        <v>0</v>
      </c>
      <c r="KVU82">
        <v>7076358</v>
      </c>
      <c r="KVV82" t="s">
        <v>262</v>
      </c>
      <c r="KVW82" t="s">
        <v>196</v>
      </c>
      <c r="KVX82">
        <v>53248</v>
      </c>
      <c r="KVY82" t="s">
        <v>260</v>
      </c>
      <c r="KVZ82">
        <v>44048</v>
      </c>
      <c r="KWA82">
        <v>44048</v>
      </c>
      <c r="KWB82">
        <v>7076358</v>
      </c>
      <c r="KWC82">
        <v>0</v>
      </c>
      <c r="KWD82" t="s">
        <v>254</v>
      </c>
      <c r="KWE82">
        <v>830037946</v>
      </c>
      <c r="KWF82" t="s">
        <v>260</v>
      </c>
      <c r="KWG82">
        <v>131</v>
      </c>
      <c r="KWH82" t="s">
        <v>261</v>
      </c>
      <c r="KWI82">
        <v>54018</v>
      </c>
      <c r="KWJ82">
        <v>0</v>
      </c>
      <c r="KWK82">
        <v>7076358</v>
      </c>
      <c r="KWL82" t="s">
        <v>262</v>
      </c>
      <c r="KWM82" t="s">
        <v>196</v>
      </c>
      <c r="KWN82">
        <v>53248</v>
      </c>
      <c r="KWO82" t="s">
        <v>260</v>
      </c>
      <c r="KWP82">
        <v>44048</v>
      </c>
      <c r="KWQ82">
        <v>44048</v>
      </c>
      <c r="KWR82">
        <v>7076358</v>
      </c>
      <c r="KWS82">
        <v>0</v>
      </c>
      <c r="KWT82" t="s">
        <v>254</v>
      </c>
      <c r="KWU82">
        <v>830037946</v>
      </c>
      <c r="KWV82" t="s">
        <v>260</v>
      </c>
      <c r="KWW82">
        <v>131</v>
      </c>
      <c r="KWX82" t="s">
        <v>261</v>
      </c>
      <c r="KWY82">
        <v>54018</v>
      </c>
      <c r="KWZ82">
        <v>0</v>
      </c>
      <c r="KXA82">
        <v>7076358</v>
      </c>
      <c r="KXB82" t="s">
        <v>262</v>
      </c>
      <c r="KXC82" t="s">
        <v>196</v>
      </c>
      <c r="KXD82">
        <v>53248</v>
      </c>
      <c r="KXE82" t="s">
        <v>260</v>
      </c>
      <c r="KXF82">
        <v>44048</v>
      </c>
      <c r="KXG82">
        <v>44048</v>
      </c>
      <c r="KXH82">
        <v>7076358</v>
      </c>
      <c r="KXI82">
        <v>0</v>
      </c>
      <c r="KXJ82" t="s">
        <v>254</v>
      </c>
      <c r="KXK82">
        <v>830037946</v>
      </c>
      <c r="KXL82" t="s">
        <v>260</v>
      </c>
      <c r="KXM82">
        <v>131</v>
      </c>
      <c r="KXN82" t="s">
        <v>261</v>
      </c>
      <c r="KXO82">
        <v>54018</v>
      </c>
      <c r="KXP82">
        <v>0</v>
      </c>
      <c r="KXQ82">
        <v>7076358</v>
      </c>
      <c r="KXR82" t="s">
        <v>262</v>
      </c>
      <c r="KXS82" t="s">
        <v>196</v>
      </c>
      <c r="KXT82">
        <v>53248</v>
      </c>
      <c r="KXU82" t="s">
        <v>260</v>
      </c>
      <c r="KXV82">
        <v>44048</v>
      </c>
      <c r="KXW82">
        <v>44048</v>
      </c>
      <c r="KXX82">
        <v>7076358</v>
      </c>
      <c r="KXY82">
        <v>0</v>
      </c>
      <c r="KXZ82" t="s">
        <v>254</v>
      </c>
      <c r="KYA82">
        <v>830037946</v>
      </c>
      <c r="KYB82" t="s">
        <v>260</v>
      </c>
      <c r="KYC82">
        <v>131</v>
      </c>
      <c r="KYD82" t="s">
        <v>261</v>
      </c>
      <c r="KYE82">
        <v>54018</v>
      </c>
      <c r="KYF82">
        <v>0</v>
      </c>
      <c r="KYG82">
        <v>7076358</v>
      </c>
      <c r="KYH82" t="s">
        <v>262</v>
      </c>
      <c r="KYI82" t="s">
        <v>196</v>
      </c>
      <c r="KYJ82">
        <v>53248</v>
      </c>
      <c r="KYK82" t="s">
        <v>260</v>
      </c>
      <c r="KYL82">
        <v>44048</v>
      </c>
      <c r="KYM82">
        <v>44048</v>
      </c>
      <c r="KYN82">
        <v>7076358</v>
      </c>
      <c r="KYO82">
        <v>0</v>
      </c>
      <c r="KYP82" t="s">
        <v>254</v>
      </c>
      <c r="KYQ82">
        <v>830037946</v>
      </c>
      <c r="KYR82" t="s">
        <v>260</v>
      </c>
      <c r="KYS82">
        <v>131</v>
      </c>
      <c r="KYT82" t="s">
        <v>261</v>
      </c>
      <c r="KYU82">
        <v>54018</v>
      </c>
      <c r="KYV82">
        <v>0</v>
      </c>
      <c r="KYW82">
        <v>7076358</v>
      </c>
      <c r="KYX82" t="s">
        <v>262</v>
      </c>
      <c r="KYY82" t="s">
        <v>196</v>
      </c>
      <c r="KYZ82">
        <v>53248</v>
      </c>
      <c r="KZA82" t="s">
        <v>260</v>
      </c>
      <c r="KZB82">
        <v>44048</v>
      </c>
      <c r="KZC82">
        <v>44048</v>
      </c>
      <c r="KZD82">
        <v>7076358</v>
      </c>
      <c r="KZE82">
        <v>0</v>
      </c>
      <c r="KZF82" t="s">
        <v>254</v>
      </c>
      <c r="KZG82">
        <v>830037946</v>
      </c>
      <c r="KZH82" t="s">
        <v>260</v>
      </c>
      <c r="KZI82">
        <v>131</v>
      </c>
      <c r="KZJ82" t="s">
        <v>261</v>
      </c>
      <c r="KZK82">
        <v>54018</v>
      </c>
      <c r="KZL82">
        <v>0</v>
      </c>
      <c r="KZM82">
        <v>7076358</v>
      </c>
      <c r="KZN82" t="s">
        <v>262</v>
      </c>
      <c r="KZO82" t="s">
        <v>196</v>
      </c>
      <c r="KZP82">
        <v>53248</v>
      </c>
      <c r="KZQ82" t="s">
        <v>260</v>
      </c>
      <c r="KZR82">
        <v>44048</v>
      </c>
      <c r="KZS82">
        <v>44048</v>
      </c>
      <c r="KZT82">
        <v>7076358</v>
      </c>
      <c r="KZU82">
        <v>0</v>
      </c>
      <c r="KZV82" t="s">
        <v>254</v>
      </c>
      <c r="KZW82">
        <v>830037946</v>
      </c>
      <c r="KZX82" t="s">
        <v>260</v>
      </c>
      <c r="KZY82">
        <v>131</v>
      </c>
      <c r="KZZ82" t="s">
        <v>261</v>
      </c>
      <c r="LAA82">
        <v>54018</v>
      </c>
      <c r="LAB82">
        <v>0</v>
      </c>
      <c r="LAC82">
        <v>7076358</v>
      </c>
      <c r="LAD82" t="s">
        <v>262</v>
      </c>
      <c r="LAE82" t="s">
        <v>196</v>
      </c>
      <c r="LAF82">
        <v>53248</v>
      </c>
      <c r="LAG82" t="s">
        <v>260</v>
      </c>
      <c r="LAH82">
        <v>44048</v>
      </c>
      <c r="LAI82">
        <v>44048</v>
      </c>
      <c r="LAJ82">
        <v>7076358</v>
      </c>
      <c r="LAK82">
        <v>0</v>
      </c>
      <c r="LAL82" t="s">
        <v>254</v>
      </c>
      <c r="LAM82">
        <v>830037946</v>
      </c>
      <c r="LAN82" t="s">
        <v>260</v>
      </c>
      <c r="LAO82">
        <v>131</v>
      </c>
      <c r="LAP82" t="s">
        <v>261</v>
      </c>
      <c r="LAQ82">
        <v>54018</v>
      </c>
      <c r="LAR82">
        <v>0</v>
      </c>
      <c r="LAS82">
        <v>7076358</v>
      </c>
      <c r="LAT82" t="s">
        <v>262</v>
      </c>
      <c r="LAU82" t="s">
        <v>196</v>
      </c>
      <c r="LAV82">
        <v>53248</v>
      </c>
      <c r="LAW82" t="s">
        <v>260</v>
      </c>
      <c r="LAX82">
        <v>44048</v>
      </c>
      <c r="LAY82">
        <v>44048</v>
      </c>
      <c r="LAZ82">
        <v>7076358</v>
      </c>
      <c r="LBA82">
        <v>0</v>
      </c>
      <c r="LBB82" t="s">
        <v>254</v>
      </c>
      <c r="LBC82">
        <v>830037946</v>
      </c>
      <c r="LBD82" t="s">
        <v>260</v>
      </c>
      <c r="LBE82">
        <v>131</v>
      </c>
      <c r="LBF82" t="s">
        <v>261</v>
      </c>
      <c r="LBG82">
        <v>54018</v>
      </c>
      <c r="LBH82">
        <v>0</v>
      </c>
      <c r="LBI82">
        <v>7076358</v>
      </c>
      <c r="LBJ82" t="s">
        <v>262</v>
      </c>
      <c r="LBK82" t="s">
        <v>196</v>
      </c>
      <c r="LBL82">
        <v>53248</v>
      </c>
      <c r="LBM82" t="s">
        <v>260</v>
      </c>
      <c r="LBN82">
        <v>44048</v>
      </c>
      <c r="LBO82">
        <v>44048</v>
      </c>
      <c r="LBP82">
        <v>7076358</v>
      </c>
      <c r="LBQ82">
        <v>0</v>
      </c>
      <c r="LBR82" t="s">
        <v>254</v>
      </c>
      <c r="LBS82">
        <v>830037946</v>
      </c>
      <c r="LBT82" t="s">
        <v>260</v>
      </c>
      <c r="LBU82">
        <v>131</v>
      </c>
      <c r="LBV82" t="s">
        <v>261</v>
      </c>
      <c r="LBW82">
        <v>54018</v>
      </c>
      <c r="LBX82">
        <v>0</v>
      </c>
      <c r="LBY82">
        <v>7076358</v>
      </c>
      <c r="LBZ82" t="s">
        <v>262</v>
      </c>
      <c r="LCA82" t="s">
        <v>196</v>
      </c>
      <c r="LCB82">
        <v>53248</v>
      </c>
      <c r="LCC82" t="s">
        <v>260</v>
      </c>
      <c r="LCD82">
        <v>44048</v>
      </c>
      <c r="LCE82">
        <v>44048</v>
      </c>
      <c r="LCF82">
        <v>7076358</v>
      </c>
      <c r="LCG82">
        <v>0</v>
      </c>
      <c r="LCH82" t="s">
        <v>254</v>
      </c>
      <c r="LCI82">
        <v>830037946</v>
      </c>
      <c r="LCJ82" t="s">
        <v>260</v>
      </c>
      <c r="LCK82">
        <v>131</v>
      </c>
      <c r="LCL82" t="s">
        <v>261</v>
      </c>
      <c r="LCM82">
        <v>54018</v>
      </c>
      <c r="LCN82">
        <v>0</v>
      </c>
      <c r="LCO82">
        <v>7076358</v>
      </c>
      <c r="LCP82" t="s">
        <v>262</v>
      </c>
      <c r="LCQ82" t="s">
        <v>196</v>
      </c>
      <c r="LCR82">
        <v>53248</v>
      </c>
      <c r="LCS82" t="s">
        <v>260</v>
      </c>
      <c r="LCT82">
        <v>44048</v>
      </c>
      <c r="LCU82">
        <v>44048</v>
      </c>
      <c r="LCV82">
        <v>7076358</v>
      </c>
      <c r="LCW82">
        <v>0</v>
      </c>
      <c r="LCX82" t="s">
        <v>254</v>
      </c>
      <c r="LCY82">
        <v>830037946</v>
      </c>
      <c r="LCZ82" t="s">
        <v>260</v>
      </c>
      <c r="LDA82">
        <v>131</v>
      </c>
      <c r="LDB82" t="s">
        <v>261</v>
      </c>
      <c r="LDC82">
        <v>54018</v>
      </c>
      <c r="LDD82">
        <v>0</v>
      </c>
      <c r="LDE82">
        <v>7076358</v>
      </c>
      <c r="LDF82" t="s">
        <v>262</v>
      </c>
      <c r="LDG82" t="s">
        <v>196</v>
      </c>
      <c r="LDH82">
        <v>53248</v>
      </c>
      <c r="LDI82" t="s">
        <v>260</v>
      </c>
      <c r="LDJ82">
        <v>44048</v>
      </c>
      <c r="LDK82">
        <v>44048</v>
      </c>
      <c r="LDL82">
        <v>7076358</v>
      </c>
      <c r="LDM82">
        <v>0</v>
      </c>
      <c r="LDN82" t="s">
        <v>254</v>
      </c>
      <c r="LDO82">
        <v>830037946</v>
      </c>
      <c r="LDP82" t="s">
        <v>260</v>
      </c>
      <c r="LDQ82">
        <v>131</v>
      </c>
      <c r="LDR82" t="s">
        <v>261</v>
      </c>
      <c r="LDS82">
        <v>54018</v>
      </c>
      <c r="LDT82">
        <v>0</v>
      </c>
      <c r="LDU82">
        <v>7076358</v>
      </c>
      <c r="LDV82" t="s">
        <v>262</v>
      </c>
      <c r="LDW82" t="s">
        <v>196</v>
      </c>
      <c r="LDX82">
        <v>53248</v>
      </c>
      <c r="LDY82" t="s">
        <v>260</v>
      </c>
      <c r="LDZ82">
        <v>44048</v>
      </c>
      <c r="LEA82">
        <v>44048</v>
      </c>
      <c r="LEB82">
        <v>7076358</v>
      </c>
      <c r="LEC82">
        <v>0</v>
      </c>
      <c r="LED82" t="s">
        <v>254</v>
      </c>
      <c r="LEE82">
        <v>830037946</v>
      </c>
      <c r="LEF82" t="s">
        <v>260</v>
      </c>
      <c r="LEG82">
        <v>131</v>
      </c>
      <c r="LEH82" t="s">
        <v>261</v>
      </c>
      <c r="LEI82">
        <v>54018</v>
      </c>
      <c r="LEJ82">
        <v>0</v>
      </c>
      <c r="LEK82">
        <v>7076358</v>
      </c>
      <c r="LEL82" t="s">
        <v>262</v>
      </c>
      <c r="LEM82" t="s">
        <v>196</v>
      </c>
      <c r="LEN82">
        <v>53248</v>
      </c>
      <c r="LEO82" t="s">
        <v>260</v>
      </c>
      <c r="LEP82">
        <v>44048</v>
      </c>
      <c r="LEQ82">
        <v>44048</v>
      </c>
      <c r="LER82">
        <v>7076358</v>
      </c>
      <c r="LES82">
        <v>0</v>
      </c>
      <c r="LET82" t="s">
        <v>254</v>
      </c>
      <c r="LEU82">
        <v>830037946</v>
      </c>
      <c r="LEV82" t="s">
        <v>260</v>
      </c>
      <c r="LEW82">
        <v>131</v>
      </c>
      <c r="LEX82" t="s">
        <v>261</v>
      </c>
      <c r="LEY82">
        <v>54018</v>
      </c>
      <c r="LEZ82">
        <v>0</v>
      </c>
      <c r="LFA82">
        <v>7076358</v>
      </c>
      <c r="LFB82" t="s">
        <v>262</v>
      </c>
      <c r="LFC82" t="s">
        <v>196</v>
      </c>
      <c r="LFD82">
        <v>53248</v>
      </c>
      <c r="LFE82" t="s">
        <v>260</v>
      </c>
      <c r="LFF82">
        <v>44048</v>
      </c>
      <c r="LFG82">
        <v>44048</v>
      </c>
      <c r="LFH82">
        <v>7076358</v>
      </c>
      <c r="LFI82">
        <v>0</v>
      </c>
      <c r="LFJ82" t="s">
        <v>254</v>
      </c>
      <c r="LFK82">
        <v>830037946</v>
      </c>
      <c r="LFL82" t="s">
        <v>260</v>
      </c>
      <c r="LFM82">
        <v>131</v>
      </c>
      <c r="LFN82" t="s">
        <v>261</v>
      </c>
      <c r="LFO82">
        <v>54018</v>
      </c>
      <c r="LFP82">
        <v>0</v>
      </c>
      <c r="LFQ82">
        <v>7076358</v>
      </c>
      <c r="LFR82" t="s">
        <v>262</v>
      </c>
      <c r="LFS82" t="s">
        <v>196</v>
      </c>
      <c r="LFT82">
        <v>53248</v>
      </c>
      <c r="LFU82" t="s">
        <v>260</v>
      </c>
      <c r="LFV82">
        <v>44048</v>
      </c>
      <c r="LFW82">
        <v>44048</v>
      </c>
      <c r="LFX82">
        <v>7076358</v>
      </c>
      <c r="LFY82">
        <v>0</v>
      </c>
      <c r="LFZ82" t="s">
        <v>254</v>
      </c>
      <c r="LGA82">
        <v>830037946</v>
      </c>
      <c r="LGB82" t="s">
        <v>260</v>
      </c>
      <c r="LGC82">
        <v>131</v>
      </c>
      <c r="LGD82" t="s">
        <v>261</v>
      </c>
      <c r="LGE82">
        <v>54018</v>
      </c>
      <c r="LGF82">
        <v>0</v>
      </c>
      <c r="LGG82">
        <v>7076358</v>
      </c>
      <c r="LGH82" t="s">
        <v>262</v>
      </c>
      <c r="LGI82" t="s">
        <v>196</v>
      </c>
      <c r="LGJ82">
        <v>53248</v>
      </c>
      <c r="LGK82" t="s">
        <v>260</v>
      </c>
      <c r="LGL82">
        <v>44048</v>
      </c>
      <c r="LGM82">
        <v>44048</v>
      </c>
      <c r="LGN82">
        <v>7076358</v>
      </c>
      <c r="LGO82">
        <v>0</v>
      </c>
      <c r="LGP82" t="s">
        <v>254</v>
      </c>
      <c r="LGQ82">
        <v>830037946</v>
      </c>
      <c r="LGR82" t="s">
        <v>260</v>
      </c>
      <c r="LGS82">
        <v>131</v>
      </c>
      <c r="LGT82" t="s">
        <v>261</v>
      </c>
      <c r="LGU82">
        <v>54018</v>
      </c>
      <c r="LGV82">
        <v>0</v>
      </c>
      <c r="LGW82">
        <v>7076358</v>
      </c>
      <c r="LGX82" t="s">
        <v>262</v>
      </c>
      <c r="LGY82" t="s">
        <v>196</v>
      </c>
      <c r="LGZ82">
        <v>53248</v>
      </c>
      <c r="LHA82" t="s">
        <v>260</v>
      </c>
      <c r="LHB82">
        <v>44048</v>
      </c>
      <c r="LHC82">
        <v>44048</v>
      </c>
      <c r="LHD82">
        <v>7076358</v>
      </c>
      <c r="LHE82">
        <v>0</v>
      </c>
      <c r="LHF82" t="s">
        <v>254</v>
      </c>
      <c r="LHG82">
        <v>830037946</v>
      </c>
      <c r="LHH82" t="s">
        <v>260</v>
      </c>
      <c r="LHI82">
        <v>131</v>
      </c>
      <c r="LHJ82" t="s">
        <v>261</v>
      </c>
      <c r="LHK82">
        <v>54018</v>
      </c>
      <c r="LHL82">
        <v>0</v>
      </c>
      <c r="LHM82">
        <v>7076358</v>
      </c>
      <c r="LHN82" t="s">
        <v>262</v>
      </c>
      <c r="LHO82" t="s">
        <v>196</v>
      </c>
      <c r="LHP82">
        <v>53248</v>
      </c>
      <c r="LHQ82" t="s">
        <v>260</v>
      </c>
      <c r="LHR82">
        <v>44048</v>
      </c>
      <c r="LHS82">
        <v>44048</v>
      </c>
      <c r="LHT82">
        <v>7076358</v>
      </c>
      <c r="LHU82">
        <v>0</v>
      </c>
      <c r="LHV82" t="s">
        <v>254</v>
      </c>
      <c r="LHW82">
        <v>830037946</v>
      </c>
      <c r="LHX82" t="s">
        <v>260</v>
      </c>
      <c r="LHY82">
        <v>131</v>
      </c>
      <c r="LHZ82" t="s">
        <v>261</v>
      </c>
      <c r="LIA82">
        <v>54018</v>
      </c>
      <c r="LIB82">
        <v>0</v>
      </c>
      <c r="LIC82">
        <v>7076358</v>
      </c>
      <c r="LID82" t="s">
        <v>262</v>
      </c>
      <c r="LIE82" t="s">
        <v>196</v>
      </c>
      <c r="LIF82">
        <v>53248</v>
      </c>
      <c r="LIG82" t="s">
        <v>260</v>
      </c>
      <c r="LIH82">
        <v>44048</v>
      </c>
      <c r="LII82">
        <v>44048</v>
      </c>
      <c r="LIJ82">
        <v>7076358</v>
      </c>
      <c r="LIK82">
        <v>0</v>
      </c>
      <c r="LIL82" t="s">
        <v>254</v>
      </c>
      <c r="LIM82">
        <v>830037946</v>
      </c>
      <c r="LIN82" t="s">
        <v>260</v>
      </c>
      <c r="LIO82">
        <v>131</v>
      </c>
      <c r="LIP82" t="s">
        <v>261</v>
      </c>
      <c r="LIQ82">
        <v>54018</v>
      </c>
      <c r="LIR82">
        <v>0</v>
      </c>
      <c r="LIS82">
        <v>7076358</v>
      </c>
      <c r="LIT82" t="s">
        <v>262</v>
      </c>
      <c r="LIU82" t="s">
        <v>196</v>
      </c>
      <c r="LIV82">
        <v>53248</v>
      </c>
      <c r="LIW82" t="s">
        <v>260</v>
      </c>
      <c r="LIX82">
        <v>44048</v>
      </c>
      <c r="LIY82">
        <v>44048</v>
      </c>
      <c r="LIZ82">
        <v>7076358</v>
      </c>
      <c r="LJA82">
        <v>0</v>
      </c>
      <c r="LJB82" t="s">
        <v>254</v>
      </c>
      <c r="LJC82">
        <v>830037946</v>
      </c>
      <c r="LJD82" t="s">
        <v>260</v>
      </c>
      <c r="LJE82">
        <v>131</v>
      </c>
      <c r="LJF82" t="s">
        <v>261</v>
      </c>
      <c r="LJG82">
        <v>54018</v>
      </c>
      <c r="LJH82">
        <v>0</v>
      </c>
      <c r="LJI82">
        <v>7076358</v>
      </c>
      <c r="LJJ82" t="s">
        <v>262</v>
      </c>
      <c r="LJK82" t="s">
        <v>196</v>
      </c>
      <c r="LJL82">
        <v>53248</v>
      </c>
      <c r="LJM82" t="s">
        <v>260</v>
      </c>
      <c r="LJN82">
        <v>44048</v>
      </c>
      <c r="LJO82">
        <v>44048</v>
      </c>
      <c r="LJP82">
        <v>7076358</v>
      </c>
      <c r="LJQ82">
        <v>0</v>
      </c>
      <c r="LJR82" t="s">
        <v>254</v>
      </c>
      <c r="LJS82">
        <v>830037946</v>
      </c>
      <c r="LJT82" t="s">
        <v>260</v>
      </c>
      <c r="LJU82">
        <v>131</v>
      </c>
      <c r="LJV82" t="s">
        <v>261</v>
      </c>
      <c r="LJW82">
        <v>54018</v>
      </c>
      <c r="LJX82">
        <v>0</v>
      </c>
      <c r="LJY82">
        <v>7076358</v>
      </c>
      <c r="LJZ82" t="s">
        <v>262</v>
      </c>
      <c r="LKA82" t="s">
        <v>196</v>
      </c>
      <c r="LKB82">
        <v>53248</v>
      </c>
      <c r="LKC82" t="s">
        <v>260</v>
      </c>
      <c r="LKD82">
        <v>44048</v>
      </c>
      <c r="LKE82">
        <v>44048</v>
      </c>
      <c r="LKF82">
        <v>7076358</v>
      </c>
      <c r="LKG82">
        <v>0</v>
      </c>
      <c r="LKH82" t="s">
        <v>254</v>
      </c>
      <c r="LKI82">
        <v>830037946</v>
      </c>
      <c r="LKJ82" t="s">
        <v>260</v>
      </c>
      <c r="LKK82">
        <v>131</v>
      </c>
      <c r="LKL82" t="s">
        <v>261</v>
      </c>
      <c r="LKM82">
        <v>54018</v>
      </c>
      <c r="LKN82">
        <v>0</v>
      </c>
      <c r="LKO82">
        <v>7076358</v>
      </c>
      <c r="LKP82" t="s">
        <v>262</v>
      </c>
      <c r="LKQ82" t="s">
        <v>196</v>
      </c>
      <c r="LKR82">
        <v>53248</v>
      </c>
      <c r="LKS82" t="s">
        <v>260</v>
      </c>
      <c r="LKT82">
        <v>44048</v>
      </c>
      <c r="LKU82">
        <v>44048</v>
      </c>
      <c r="LKV82">
        <v>7076358</v>
      </c>
      <c r="LKW82">
        <v>0</v>
      </c>
      <c r="LKX82" t="s">
        <v>254</v>
      </c>
      <c r="LKY82">
        <v>830037946</v>
      </c>
      <c r="LKZ82" t="s">
        <v>260</v>
      </c>
      <c r="LLA82">
        <v>131</v>
      </c>
      <c r="LLB82" t="s">
        <v>261</v>
      </c>
      <c r="LLC82">
        <v>54018</v>
      </c>
      <c r="LLD82">
        <v>0</v>
      </c>
      <c r="LLE82">
        <v>7076358</v>
      </c>
      <c r="LLF82" t="s">
        <v>262</v>
      </c>
      <c r="LLG82" t="s">
        <v>196</v>
      </c>
      <c r="LLH82">
        <v>53248</v>
      </c>
      <c r="LLI82" t="s">
        <v>260</v>
      </c>
      <c r="LLJ82">
        <v>44048</v>
      </c>
      <c r="LLK82">
        <v>44048</v>
      </c>
      <c r="LLL82">
        <v>7076358</v>
      </c>
      <c r="LLM82">
        <v>0</v>
      </c>
      <c r="LLN82" t="s">
        <v>254</v>
      </c>
      <c r="LLO82">
        <v>830037946</v>
      </c>
      <c r="LLP82" t="s">
        <v>260</v>
      </c>
      <c r="LLQ82">
        <v>131</v>
      </c>
      <c r="LLR82" t="s">
        <v>261</v>
      </c>
      <c r="LLS82">
        <v>54018</v>
      </c>
      <c r="LLT82">
        <v>0</v>
      </c>
      <c r="LLU82">
        <v>7076358</v>
      </c>
      <c r="LLV82" t="s">
        <v>262</v>
      </c>
      <c r="LLW82" t="s">
        <v>196</v>
      </c>
      <c r="LLX82">
        <v>53248</v>
      </c>
      <c r="LLY82" t="s">
        <v>260</v>
      </c>
      <c r="LLZ82">
        <v>44048</v>
      </c>
      <c r="LMA82">
        <v>44048</v>
      </c>
      <c r="LMB82">
        <v>7076358</v>
      </c>
      <c r="LMC82">
        <v>0</v>
      </c>
      <c r="LMD82" t="s">
        <v>254</v>
      </c>
      <c r="LME82">
        <v>830037946</v>
      </c>
      <c r="LMF82" t="s">
        <v>260</v>
      </c>
      <c r="LMG82">
        <v>131</v>
      </c>
      <c r="LMH82" t="s">
        <v>261</v>
      </c>
      <c r="LMI82">
        <v>54018</v>
      </c>
      <c r="LMJ82">
        <v>0</v>
      </c>
      <c r="LMK82">
        <v>7076358</v>
      </c>
      <c r="LML82" t="s">
        <v>262</v>
      </c>
      <c r="LMM82" t="s">
        <v>196</v>
      </c>
      <c r="LMN82">
        <v>53248</v>
      </c>
      <c r="LMO82" t="s">
        <v>260</v>
      </c>
      <c r="LMP82">
        <v>44048</v>
      </c>
      <c r="LMQ82">
        <v>44048</v>
      </c>
      <c r="LMR82">
        <v>7076358</v>
      </c>
      <c r="LMS82">
        <v>0</v>
      </c>
      <c r="LMT82" t="s">
        <v>254</v>
      </c>
      <c r="LMU82">
        <v>830037946</v>
      </c>
      <c r="LMV82" t="s">
        <v>260</v>
      </c>
      <c r="LMW82">
        <v>131</v>
      </c>
      <c r="LMX82" t="s">
        <v>261</v>
      </c>
      <c r="LMY82">
        <v>54018</v>
      </c>
      <c r="LMZ82">
        <v>0</v>
      </c>
      <c r="LNA82">
        <v>7076358</v>
      </c>
      <c r="LNB82" t="s">
        <v>262</v>
      </c>
      <c r="LNC82" t="s">
        <v>196</v>
      </c>
      <c r="LND82">
        <v>53248</v>
      </c>
      <c r="LNE82" t="s">
        <v>260</v>
      </c>
      <c r="LNF82">
        <v>44048</v>
      </c>
      <c r="LNG82">
        <v>44048</v>
      </c>
      <c r="LNH82">
        <v>7076358</v>
      </c>
      <c r="LNI82">
        <v>0</v>
      </c>
      <c r="LNJ82" t="s">
        <v>254</v>
      </c>
      <c r="LNK82">
        <v>830037946</v>
      </c>
      <c r="LNL82" t="s">
        <v>260</v>
      </c>
      <c r="LNM82">
        <v>131</v>
      </c>
      <c r="LNN82" t="s">
        <v>261</v>
      </c>
      <c r="LNO82">
        <v>54018</v>
      </c>
      <c r="LNP82">
        <v>0</v>
      </c>
      <c r="LNQ82">
        <v>7076358</v>
      </c>
      <c r="LNR82" t="s">
        <v>262</v>
      </c>
      <c r="LNS82" t="s">
        <v>196</v>
      </c>
      <c r="LNT82">
        <v>53248</v>
      </c>
      <c r="LNU82" t="s">
        <v>260</v>
      </c>
      <c r="LNV82">
        <v>44048</v>
      </c>
      <c r="LNW82">
        <v>44048</v>
      </c>
      <c r="LNX82">
        <v>7076358</v>
      </c>
      <c r="LNY82">
        <v>0</v>
      </c>
      <c r="LNZ82" t="s">
        <v>254</v>
      </c>
      <c r="LOA82">
        <v>830037946</v>
      </c>
      <c r="LOB82" t="s">
        <v>260</v>
      </c>
      <c r="LOC82">
        <v>131</v>
      </c>
      <c r="LOD82" t="s">
        <v>261</v>
      </c>
      <c r="LOE82">
        <v>54018</v>
      </c>
      <c r="LOF82">
        <v>0</v>
      </c>
      <c r="LOG82">
        <v>7076358</v>
      </c>
      <c r="LOH82" t="s">
        <v>262</v>
      </c>
      <c r="LOI82" t="s">
        <v>196</v>
      </c>
      <c r="LOJ82">
        <v>53248</v>
      </c>
      <c r="LOK82" t="s">
        <v>260</v>
      </c>
      <c r="LOL82">
        <v>44048</v>
      </c>
      <c r="LOM82">
        <v>44048</v>
      </c>
      <c r="LON82">
        <v>7076358</v>
      </c>
      <c r="LOO82">
        <v>0</v>
      </c>
      <c r="LOP82" t="s">
        <v>254</v>
      </c>
      <c r="LOQ82">
        <v>830037946</v>
      </c>
      <c r="LOR82" t="s">
        <v>260</v>
      </c>
      <c r="LOS82">
        <v>131</v>
      </c>
      <c r="LOT82" t="s">
        <v>261</v>
      </c>
      <c r="LOU82">
        <v>54018</v>
      </c>
      <c r="LOV82">
        <v>0</v>
      </c>
      <c r="LOW82">
        <v>7076358</v>
      </c>
      <c r="LOX82" t="s">
        <v>262</v>
      </c>
      <c r="LOY82" t="s">
        <v>196</v>
      </c>
      <c r="LOZ82">
        <v>53248</v>
      </c>
      <c r="LPA82" t="s">
        <v>260</v>
      </c>
      <c r="LPB82">
        <v>44048</v>
      </c>
      <c r="LPC82">
        <v>44048</v>
      </c>
      <c r="LPD82">
        <v>7076358</v>
      </c>
      <c r="LPE82">
        <v>0</v>
      </c>
      <c r="LPF82" t="s">
        <v>254</v>
      </c>
      <c r="LPG82">
        <v>830037946</v>
      </c>
      <c r="LPH82" t="s">
        <v>260</v>
      </c>
      <c r="LPI82">
        <v>131</v>
      </c>
      <c r="LPJ82" t="s">
        <v>261</v>
      </c>
      <c r="LPK82">
        <v>54018</v>
      </c>
      <c r="LPL82">
        <v>0</v>
      </c>
      <c r="LPM82">
        <v>7076358</v>
      </c>
      <c r="LPN82" t="s">
        <v>262</v>
      </c>
      <c r="LPO82" t="s">
        <v>196</v>
      </c>
      <c r="LPP82">
        <v>53248</v>
      </c>
      <c r="LPQ82" t="s">
        <v>260</v>
      </c>
      <c r="LPR82">
        <v>44048</v>
      </c>
      <c r="LPS82">
        <v>44048</v>
      </c>
      <c r="LPT82">
        <v>7076358</v>
      </c>
      <c r="LPU82">
        <v>0</v>
      </c>
      <c r="LPV82" t="s">
        <v>254</v>
      </c>
      <c r="LPW82">
        <v>830037946</v>
      </c>
      <c r="LPX82" t="s">
        <v>260</v>
      </c>
      <c r="LPY82">
        <v>131</v>
      </c>
      <c r="LPZ82" t="s">
        <v>261</v>
      </c>
      <c r="LQA82">
        <v>54018</v>
      </c>
      <c r="LQB82">
        <v>0</v>
      </c>
      <c r="LQC82">
        <v>7076358</v>
      </c>
      <c r="LQD82" t="s">
        <v>262</v>
      </c>
      <c r="LQE82" t="s">
        <v>196</v>
      </c>
      <c r="LQF82">
        <v>53248</v>
      </c>
      <c r="LQG82" t="s">
        <v>260</v>
      </c>
      <c r="LQH82">
        <v>44048</v>
      </c>
      <c r="LQI82">
        <v>44048</v>
      </c>
      <c r="LQJ82">
        <v>7076358</v>
      </c>
      <c r="LQK82">
        <v>0</v>
      </c>
      <c r="LQL82" t="s">
        <v>254</v>
      </c>
      <c r="LQM82">
        <v>830037946</v>
      </c>
      <c r="LQN82" t="s">
        <v>260</v>
      </c>
      <c r="LQO82">
        <v>131</v>
      </c>
      <c r="LQP82" t="s">
        <v>261</v>
      </c>
      <c r="LQQ82">
        <v>54018</v>
      </c>
      <c r="LQR82">
        <v>0</v>
      </c>
      <c r="LQS82">
        <v>7076358</v>
      </c>
      <c r="LQT82" t="s">
        <v>262</v>
      </c>
      <c r="LQU82" t="s">
        <v>196</v>
      </c>
      <c r="LQV82">
        <v>53248</v>
      </c>
      <c r="LQW82" t="s">
        <v>260</v>
      </c>
      <c r="LQX82">
        <v>44048</v>
      </c>
      <c r="LQY82">
        <v>44048</v>
      </c>
      <c r="LQZ82">
        <v>7076358</v>
      </c>
      <c r="LRA82">
        <v>0</v>
      </c>
      <c r="LRB82" t="s">
        <v>254</v>
      </c>
      <c r="LRC82">
        <v>830037946</v>
      </c>
      <c r="LRD82" t="s">
        <v>260</v>
      </c>
      <c r="LRE82">
        <v>131</v>
      </c>
      <c r="LRF82" t="s">
        <v>261</v>
      </c>
      <c r="LRG82">
        <v>54018</v>
      </c>
      <c r="LRH82">
        <v>0</v>
      </c>
      <c r="LRI82">
        <v>7076358</v>
      </c>
      <c r="LRJ82" t="s">
        <v>262</v>
      </c>
      <c r="LRK82" t="s">
        <v>196</v>
      </c>
      <c r="LRL82">
        <v>53248</v>
      </c>
      <c r="LRM82" t="s">
        <v>260</v>
      </c>
      <c r="LRN82">
        <v>44048</v>
      </c>
      <c r="LRO82">
        <v>44048</v>
      </c>
      <c r="LRP82">
        <v>7076358</v>
      </c>
      <c r="LRQ82">
        <v>0</v>
      </c>
      <c r="LRR82" t="s">
        <v>254</v>
      </c>
      <c r="LRS82">
        <v>830037946</v>
      </c>
      <c r="LRT82" t="s">
        <v>260</v>
      </c>
      <c r="LRU82">
        <v>131</v>
      </c>
      <c r="LRV82" t="s">
        <v>261</v>
      </c>
      <c r="LRW82">
        <v>54018</v>
      </c>
      <c r="LRX82">
        <v>0</v>
      </c>
      <c r="LRY82">
        <v>7076358</v>
      </c>
      <c r="LRZ82" t="s">
        <v>262</v>
      </c>
      <c r="LSA82" t="s">
        <v>196</v>
      </c>
      <c r="LSB82">
        <v>53248</v>
      </c>
      <c r="LSC82" t="s">
        <v>260</v>
      </c>
      <c r="LSD82">
        <v>44048</v>
      </c>
      <c r="LSE82">
        <v>44048</v>
      </c>
      <c r="LSF82">
        <v>7076358</v>
      </c>
      <c r="LSG82">
        <v>0</v>
      </c>
      <c r="LSH82" t="s">
        <v>254</v>
      </c>
      <c r="LSI82">
        <v>830037946</v>
      </c>
      <c r="LSJ82" t="s">
        <v>260</v>
      </c>
      <c r="LSK82">
        <v>131</v>
      </c>
      <c r="LSL82" t="s">
        <v>261</v>
      </c>
      <c r="LSM82">
        <v>54018</v>
      </c>
      <c r="LSN82">
        <v>0</v>
      </c>
      <c r="LSO82">
        <v>7076358</v>
      </c>
      <c r="LSP82" t="s">
        <v>262</v>
      </c>
      <c r="LSQ82" t="s">
        <v>196</v>
      </c>
      <c r="LSR82">
        <v>53248</v>
      </c>
      <c r="LSS82" t="s">
        <v>260</v>
      </c>
      <c r="LST82">
        <v>44048</v>
      </c>
      <c r="LSU82">
        <v>44048</v>
      </c>
      <c r="LSV82">
        <v>7076358</v>
      </c>
      <c r="LSW82">
        <v>0</v>
      </c>
      <c r="LSX82" t="s">
        <v>254</v>
      </c>
      <c r="LSY82">
        <v>830037946</v>
      </c>
      <c r="LSZ82" t="s">
        <v>260</v>
      </c>
      <c r="LTA82">
        <v>131</v>
      </c>
      <c r="LTB82" t="s">
        <v>261</v>
      </c>
      <c r="LTC82">
        <v>54018</v>
      </c>
      <c r="LTD82">
        <v>0</v>
      </c>
      <c r="LTE82">
        <v>7076358</v>
      </c>
      <c r="LTF82" t="s">
        <v>262</v>
      </c>
      <c r="LTG82" t="s">
        <v>196</v>
      </c>
      <c r="LTH82">
        <v>53248</v>
      </c>
      <c r="LTI82" t="s">
        <v>260</v>
      </c>
      <c r="LTJ82">
        <v>44048</v>
      </c>
      <c r="LTK82">
        <v>44048</v>
      </c>
      <c r="LTL82">
        <v>7076358</v>
      </c>
      <c r="LTM82">
        <v>0</v>
      </c>
      <c r="LTN82" t="s">
        <v>254</v>
      </c>
      <c r="LTO82">
        <v>830037946</v>
      </c>
      <c r="LTP82" t="s">
        <v>260</v>
      </c>
      <c r="LTQ82">
        <v>131</v>
      </c>
      <c r="LTR82" t="s">
        <v>261</v>
      </c>
      <c r="LTS82">
        <v>54018</v>
      </c>
      <c r="LTT82">
        <v>0</v>
      </c>
      <c r="LTU82">
        <v>7076358</v>
      </c>
      <c r="LTV82" t="s">
        <v>262</v>
      </c>
      <c r="LTW82" t="s">
        <v>196</v>
      </c>
      <c r="LTX82">
        <v>53248</v>
      </c>
      <c r="LTY82" t="s">
        <v>260</v>
      </c>
      <c r="LTZ82">
        <v>44048</v>
      </c>
      <c r="LUA82">
        <v>44048</v>
      </c>
      <c r="LUB82">
        <v>7076358</v>
      </c>
      <c r="LUC82">
        <v>0</v>
      </c>
      <c r="LUD82" t="s">
        <v>254</v>
      </c>
      <c r="LUE82">
        <v>830037946</v>
      </c>
      <c r="LUF82" t="s">
        <v>260</v>
      </c>
      <c r="LUG82">
        <v>131</v>
      </c>
      <c r="LUH82" t="s">
        <v>261</v>
      </c>
      <c r="LUI82">
        <v>54018</v>
      </c>
      <c r="LUJ82">
        <v>0</v>
      </c>
      <c r="LUK82">
        <v>7076358</v>
      </c>
      <c r="LUL82" t="s">
        <v>262</v>
      </c>
      <c r="LUM82" t="s">
        <v>196</v>
      </c>
      <c r="LUN82">
        <v>53248</v>
      </c>
      <c r="LUO82" t="s">
        <v>260</v>
      </c>
      <c r="LUP82">
        <v>44048</v>
      </c>
      <c r="LUQ82">
        <v>44048</v>
      </c>
      <c r="LUR82">
        <v>7076358</v>
      </c>
      <c r="LUS82">
        <v>0</v>
      </c>
      <c r="LUT82" t="s">
        <v>254</v>
      </c>
      <c r="LUU82">
        <v>830037946</v>
      </c>
      <c r="LUV82" t="s">
        <v>260</v>
      </c>
      <c r="LUW82">
        <v>131</v>
      </c>
      <c r="LUX82" t="s">
        <v>261</v>
      </c>
      <c r="LUY82">
        <v>54018</v>
      </c>
      <c r="LUZ82">
        <v>0</v>
      </c>
      <c r="LVA82">
        <v>7076358</v>
      </c>
      <c r="LVB82" t="s">
        <v>262</v>
      </c>
      <c r="LVC82" t="s">
        <v>196</v>
      </c>
      <c r="LVD82">
        <v>53248</v>
      </c>
      <c r="LVE82" t="s">
        <v>260</v>
      </c>
      <c r="LVF82">
        <v>44048</v>
      </c>
      <c r="LVG82">
        <v>44048</v>
      </c>
      <c r="LVH82">
        <v>7076358</v>
      </c>
      <c r="LVI82">
        <v>0</v>
      </c>
      <c r="LVJ82" t="s">
        <v>254</v>
      </c>
      <c r="LVK82">
        <v>830037946</v>
      </c>
      <c r="LVL82" t="s">
        <v>260</v>
      </c>
      <c r="LVM82">
        <v>131</v>
      </c>
      <c r="LVN82" t="s">
        <v>261</v>
      </c>
      <c r="LVO82">
        <v>54018</v>
      </c>
      <c r="LVP82">
        <v>0</v>
      </c>
      <c r="LVQ82">
        <v>7076358</v>
      </c>
      <c r="LVR82" t="s">
        <v>262</v>
      </c>
      <c r="LVS82" t="s">
        <v>196</v>
      </c>
      <c r="LVT82">
        <v>53248</v>
      </c>
      <c r="LVU82" t="s">
        <v>260</v>
      </c>
      <c r="LVV82">
        <v>44048</v>
      </c>
      <c r="LVW82">
        <v>44048</v>
      </c>
      <c r="LVX82">
        <v>7076358</v>
      </c>
      <c r="LVY82">
        <v>0</v>
      </c>
      <c r="LVZ82" t="s">
        <v>254</v>
      </c>
      <c r="LWA82">
        <v>830037946</v>
      </c>
      <c r="LWB82" t="s">
        <v>260</v>
      </c>
      <c r="LWC82">
        <v>131</v>
      </c>
      <c r="LWD82" t="s">
        <v>261</v>
      </c>
      <c r="LWE82">
        <v>54018</v>
      </c>
      <c r="LWF82">
        <v>0</v>
      </c>
      <c r="LWG82">
        <v>7076358</v>
      </c>
      <c r="LWH82" t="s">
        <v>262</v>
      </c>
      <c r="LWI82" t="s">
        <v>196</v>
      </c>
      <c r="LWJ82">
        <v>53248</v>
      </c>
      <c r="LWK82" t="s">
        <v>260</v>
      </c>
      <c r="LWL82">
        <v>44048</v>
      </c>
      <c r="LWM82">
        <v>44048</v>
      </c>
      <c r="LWN82">
        <v>7076358</v>
      </c>
      <c r="LWO82">
        <v>0</v>
      </c>
      <c r="LWP82" t="s">
        <v>254</v>
      </c>
      <c r="LWQ82">
        <v>830037946</v>
      </c>
      <c r="LWR82" t="s">
        <v>260</v>
      </c>
      <c r="LWS82">
        <v>131</v>
      </c>
      <c r="LWT82" t="s">
        <v>261</v>
      </c>
      <c r="LWU82">
        <v>54018</v>
      </c>
      <c r="LWV82">
        <v>0</v>
      </c>
      <c r="LWW82">
        <v>7076358</v>
      </c>
      <c r="LWX82" t="s">
        <v>262</v>
      </c>
      <c r="LWY82" t="s">
        <v>196</v>
      </c>
      <c r="LWZ82">
        <v>53248</v>
      </c>
      <c r="LXA82" t="s">
        <v>260</v>
      </c>
      <c r="LXB82">
        <v>44048</v>
      </c>
      <c r="LXC82">
        <v>44048</v>
      </c>
      <c r="LXD82">
        <v>7076358</v>
      </c>
      <c r="LXE82">
        <v>0</v>
      </c>
      <c r="LXF82" t="s">
        <v>254</v>
      </c>
      <c r="LXG82">
        <v>830037946</v>
      </c>
      <c r="LXH82" t="s">
        <v>260</v>
      </c>
      <c r="LXI82">
        <v>131</v>
      </c>
      <c r="LXJ82" t="s">
        <v>261</v>
      </c>
      <c r="LXK82">
        <v>54018</v>
      </c>
      <c r="LXL82">
        <v>0</v>
      </c>
      <c r="LXM82">
        <v>7076358</v>
      </c>
      <c r="LXN82" t="s">
        <v>262</v>
      </c>
      <c r="LXO82" t="s">
        <v>196</v>
      </c>
      <c r="LXP82">
        <v>53248</v>
      </c>
      <c r="LXQ82" t="s">
        <v>260</v>
      </c>
      <c r="LXR82">
        <v>44048</v>
      </c>
      <c r="LXS82">
        <v>44048</v>
      </c>
      <c r="LXT82">
        <v>7076358</v>
      </c>
      <c r="LXU82">
        <v>0</v>
      </c>
      <c r="LXV82" t="s">
        <v>254</v>
      </c>
      <c r="LXW82">
        <v>830037946</v>
      </c>
      <c r="LXX82" t="s">
        <v>260</v>
      </c>
      <c r="LXY82">
        <v>131</v>
      </c>
      <c r="LXZ82" t="s">
        <v>261</v>
      </c>
      <c r="LYA82">
        <v>54018</v>
      </c>
      <c r="LYB82">
        <v>0</v>
      </c>
      <c r="LYC82">
        <v>7076358</v>
      </c>
      <c r="LYD82" t="s">
        <v>262</v>
      </c>
      <c r="LYE82" t="s">
        <v>196</v>
      </c>
      <c r="LYF82">
        <v>53248</v>
      </c>
      <c r="LYG82" t="s">
        <v>260</v>
      </c>
      <c r="LYH82">
        <v>44048</v>
      </c>
      <c r="LYI82">
        <v>44048</v>
      </c>
      <c r="LYJ82">
        <v>7076358</v>
      </c>
      <c r="LYK82">
        <v>0</v>
      </c>
      <c r="LYL82" t="s">
        <v>254</v>
      </c>
      <c r="LYM82">
        <v>830037946</v>
      </c>
      <c r="LYN82" t="s">
        <v>260</v>
      </c>
      <c r="LYO82">
        <v>131</v>
      </c>
      <c r="LYP82" t="s">
        <v>261</v>
      </c>
      <c r="LYQ82">
        <v>54018</v>
      </c>
      <c r="LYR82">
        <v>0</v>
      </c>
      <c r="LYS82">
        <v>7076358</v>
      </c>
      <c r="LYT82" t="s">
        <v>262</v>
      </c>
      <c r="LYU82" t="s">
        <v>196</v>
      </c>
      <c r="LYV82">
        <v>53248</v>
      </c>
      <c r="LYW82" t="s">
        <v>260</v>
      </c>
      <c r="LYX82">
        <v>44048</v>
      </c>
      <c r="LYY82">
        <v>44048</v>
      </c>
      <c r="LYZ82">
        <v>7076358</v>
      </c>
      <c r="LZA82">
        <v>0</v>
      </c>
      <c r="LZB82" t="s">
        <v>254</v>
      </c>
      <c r="LZC82">
        <v>830037946</v>
      </c>
      <c r="LZD82" t="s">
        <v>260</v>
      </c>
      <c r="LZE82">
        <v>131</v>
      </c>
      <c r="LZF82" t="s">
        <v>261</v>
      </c>
      <c r="LZG82">
        <v>54018</v>
      </c>
      <c r="LZH82">
        <v>0</v>
      </c>
      <c r="LZI82">
        <v>7076358</v>
      </c>
      <c r="LZJ82" t="s">
        <v>262</v>
      </c>
      <c r="LZK82" t="s">
        <v>196</v>
      </c>
      <c r="LZL82">
        <v>53248</v>
      </c>
      <c r="LZM82" t="s">
        <v>260</v>
      </c>
      <c r="LZN82">
        <v>44048</v>
      </c>
      <c r="LZO82">
        <v>44048</v>
      </c>
      <c r="LZP82">
        <v>7076358</v>
      </c>
      <c r="LZQ82">
        <v>0</v>
      </c>
      <c r="LZR82" t="s">
        <v>254</v>
      </c>
      <c r="LZS82">
        <v>830037946</v>
      </c>
      <c r="LZT82" t="s">
        <v>260</v>
      </c>
      <c r="LZU82">
        <v>131</v>
      </c>
      <c r="LZV82" t="s">
        <v>261</v>
      </c>
      <c r="LZW82">
        <v>54018</v>
      </c>
      <c r="LZX82">
        <v>0</v>
      </c>
      <c r="LZY82">
        <v>7076358</v>
      </c>
      <c r="LZZ82" t="s">
        <v>262</v>
      </c>
      <c r="MAA82" t="s">
        <v>196</v>
      </c>
      <c r="MAB82">
        <v>53248</v>
      </c>
      <c r="MAC82" t="s">
        <v>260</v>
      </c>
      <c r="MAD82">
        <v>44048</v>
      </c>
      <c r="MAE82">
        <v>44048</v>
      </c>
      <c r="MAF82">
        <v>7076358</v>
      </c>
      <c r="MAG82">
        <v>0</v>
      </c>
      <c r="MAH82" t="s">
        <v>254</v>
      </c>
      <c r="MAI82">
        <v>830037946</v>
      </c>
      <c r="MAJ82" t="s">
        <v>260</v>
      </c>
      <c r="MAK82">
        <v>131</v>
      </c>
      <c r="MAL82" t="s">
        <v>261</v>
      </c>
      <c r="MAM82">
        <v>54018</v>
      </c>
      <c r="MAN82">
        <v>0</v>
      </c>
      <c r="MAO82">
        <v>7076358</v>
      </c>
      <c r="MAP82" t="s">
        <v>262</v>
      </c>
      <c r="MAQ82" t="s">
        <v>196</v>
      </c>
      <c r="MAR82">
        <v>53248</v>
      </c>
      <c r="MAS82" t="s">
        <v>260</v>
      </c>
      <c r="MAT82">
        <v>44048</v>
      </c>
      <c r="MAU82">
        <v>44048</v>
      </c>
      <c r="MAV82">
        <v>7076358</v>
      </c>
      <c r="MAW82">
        <v>0</v>
      </c>
      <c r="MAX82" t="s">
        <v>254</v>
      </c>
      <c r="MAY82">
        <v>830037946</v>
      </c>
      <c r="MAZ82" t="s">
        <v>260</v>
      </c>
      <c r="MBA82">
        <v>131</v>
      </c>
      <c r="MBB82" t="s">
        <v>261</v>
      </c>
      <c r="MBC82">
        <v>54018</v>
      </c>
      <c r="MBD82">
        <v>0</v>
      </c>
      <c r="MBE82">
        <v>7076358</v>
      </c>
      <c r="MBF82" t="s">
        <v>262</v>
      </c>
      <c r="MBG82" t="s">
        <v>196</v>
      </c>
      <c r="MBH82">
        <v>53248</v>
      </c>
      <c r="MBI82" t="s">
        <v>260</v>
      </c>
      <c r="MBJ82">
        <v>44048</v>
      </c>
      <c r="MBK82">
        <v>44048</v>
      </c>
      <c r="MBL82">
        <v>7076358</v>
      </c>
      <c r="MBM82">
        <v>0</v>
      </c>
      <c r="MBN82" t="s">
        <v>254</v>
      </c>
      <c r="MBO82">
        <v>830037946</v>
      </c>
      <c r="MBP82" t="s">
        <v>260</v>
      </c>
      <c r="MBQ82">
        <v>131</v>
      </c>
      <c r="MBR82" t="s">
        <v>261</v>
      </c>
      <c r="MBS82">
        <v>54018</v>
      </c>
      <c r="MBT82">
        <v>0</v>
      </c>
      <c r="MBU82">
        <v>7076358</v>
      </c>
      <c r="MBV82" t="s">
        <v>262</v>
      </c>
      <c r="MBW82" t="s">
        <v>196</v>
      </c>
      <c r="MBX82">
        <v>53248</v>
      </c>
      <c r="MBY82" t="s">
        <v>260</v>
      </c>
      <c r="MBZ82">
        <v>44048</v>
      </c>
      <c r="MCA82">
        <v>44048</v>
      </c>
      <c r="MCB82">
        <v>7076358</v>
      </c>
      <c r="MCC82">
        <v>0</v>
      </c>
      <c r="MCD82" t="s">
        <v>254</v>
      </c>
      <c r="MCE82">
        <v>830037946</v>
      </c>
      <c r="MCF82" t="s">
        <v>260</v>
      </c>
      <c r="MCG82">
        <v>131</v>
      </c>
      <c r="MCH82" t="s">
        <v>261</v>
      </c>
      <c r="MCI82">
        <v>54018</v>
      </c>
      <c r="MCJ82">
        <v>0</v>
      </c>
      <c r="MCK82">
        <v>7076358</v>
      </c>
      <c r="MCL82" t="s">
        <v>262</v>
      </c>
      <c r="MCM82" t="s">
        <v>196</v>
      </c>
      <c r="MCN82">
        <v>53248</v>
      </c>
      <c r="MCO82" t="s">
        <v>260</v>
      </c>
      <c r="MCP82">
        <v>44048</v>
      </c>
      <c r="MCQ82">
        <v>44048</v>
      </c>
      <c r="MCR82">
        <v>7076358</v>
      </c>
      <c r="MCS82">
        <v>0</v>
      </c>
      <c r="MCT82" t="s">
        <v>254</v>
      </c>
      <c r="MCU82">
        <v>830037946</v>
      </c>
      <c r="MCV82" t="s">
        <v>260</v>
      </c>
      <c r="MCW82">
        <v>131</v>
      </c>
      <c r="MCX82" t="s">
        <v>261</v>
      </c>
      <c r="MCY82">
        <v>54018</v>
      </c>
      <c r="MCZ82">
        <v>0</v>
      </c>
      <c r="MDA82">
        <v>7076358</v>
      </c>
      <c r="MDB82" t="s">
        <v>262</v>
      </c>
      <c r="MDC82" t="s">
        <v>196</v>
      </c>
      <c r="MDD82">
        <v>53248</v>
      </c>
      <c r="MDE82" t="s">
        <v>260</v>
      </c>
      <c r="MDF82">
        <v>44048</v>
      </c>
      <c r="MDG82">
        <v>44048</v>
      </c>
      <c r="MDH82">
        <v>7076358</v>
      </c>
      <c r="MDI82">
        <v>0</v>
      </c>
      <c r="MDJ82" t="s">
        <v>254</v>
      </c>
      <c r="MDK82">
        <v>830037946</v>
      </c>
      <c r="MDL82" t="s">
        <v>260</v>
      </c>
      <c r="MDM82">
        <v>131</v>
      </c>
      <c r="MDN82" t="s">
        <v>261</v>
      </c>
      <c r="MDO82">
        <v>54018</v>
      </c>
      <c r="MDP82">
        <v>0</v>
      </c>
      <c r="MDQ82">
        <v>7076358</v>
      </c>
      <c r="MDR82" t="s">
        <v>262</v>
      </c>
      <c r="MDS82" t="s">
        <v>196</v>
      </c>
      <c r="MDT82">
        <v>53248</v>
      </c>
      <c r="MDU82" t="s">
        <v>260</v>
      </c>
      <c r="MDV82">
        <v>44048</v>
      </c>
      <c r="MDW82">
        <v>44048</v>
      </c>
      <c r="MDX82">
        <v>7076358</v>
      </c>
      <c r="MDY82">
        <v>0</v>
      </c>
      <c r="MDZ82" t="s">
        <v>254</v>
      </c>
      <c r="MEA82">
        <v>830037946</v>
      </c>
      <c r="MEB82" t="s">
        <v>260</v>
      </c>
      <c r="MEC82">
        <v>131</v>
      </c>
      <c r="MED82" t="s">
        <v>261</v>
      </c>
      <c r="MEE82">
        <v>54018</v>
      </c>
      <c r="MEF82">
        <v>0</v>
      </c>
      <c r="MEG82">
        <v>7076358</v>
      </c>
      <c r="MEH82" t="s">
        <v>262</v>
      </c>
      <c r="MEI82" t="s">
        <v>196</v>
      </c>
      <c r="MEJ82">
        <v>53248</v>
      </c>
      <c r="MEK82" t="s">
        <v>260</v>
      </c>
      <c r="MEL82">
        <v>44048</v>
      </c>
      <c r="MEM82">
        <v>44048</v>
      </c>
      <c r="MEN82">
        <v>7076358</v>
      </c>
      <c r="MEO82">
        <v>0</v>
      </c>
      <c r="MEP82" t="s">
        <v>254</v>
      </c>
      <c r="MEQ82">
        <v>830037946</v>
      </c>
      <c r="MER82" t="s">
        <v>260</v>
      </c>
      <c r="MES82">
        <v>131</v>
      </c>
      <c r="MET82" t="s">
        <v>261</v>
      </c>
      <c r="MEU82">
        <v>54018</v>
      </c>
      <c r="MEV82">
        <v>0</v>
      </c>
      <c r="MEW82">
        <v>7076358</v>
      </c>
      <c r="MEX82" t="s">
        <v>262</v>
      </c>
      <c r="MEY82" t="s">
        <v>196</v>
      </c>
      <c r="MEZ82">
        <v>53248</v>
      </c>
      <c r="MFA82" t="s">
        <v>260</v>
      </c>
      <c r="MFB82">
        <v>44048</v>
      </c>
      <c r="MFC82">
        <v>44048</v>
      </c>
      <c r="MFD82">
        <v>7076358</v>
      </c>
      <c r="MFE82">
        <v>0</v>
      </c>
      <c r="MFF82" t="s">
        <v>254</v>
      </c>
      <c r="MFG82">
        <v>830037946</v>
      </c>
      <c r="MFH82" t="s">
        <v>260</v>
      </c>
      <c r="MFI82">
        <v>131</v>
      </c>
      <c r="MFJ82" t="s">
        <v>261</v>
      </c>
      <c r="MFK82">
        <v>54018</v>
      </c>
      <c r="MFL82">
        <v>0</v>
      </c>
      <c r="MFM82">
        <v>7076358</v>
      </c>
      <c r="MFN82" t="s">
        <v>262</v>
      </c>
      <c r="MFO82" t="s">
        <v>196</v>
      </c>
      <c r="MFP82">
        <v>53248</v>
      </c>
      <c r="MFQ82" t="s">
        <v>260</v>
      </c>
      <c r="MFR82">
        <v>44048</v>
      </c>
      <c r="MFS82">
        <v>44048</v>
      </c>
      <c r="MFT82">
        <v>7076358</v>
      </c>
      <c r="MFU82">
        <v>0</v>
      </c>
      <c r="MFV82" t="s">
        <v>254</v>
      </c>
      <c r="MFW82">
        <v>830037946</v>
      </c>
      <c r="MFX82" t="s">
        <v>260</v>
      </c>
      <c r="MFY82">
        <v>131</v>
      </c>
      <c r="MFZ82" t="s">
        <v>261</v>
      </c>
      <c r="MGA82">
        <v>54018</v>
      </c>
      <c r="MGB82">
        <v>0</v>
      </c>
      <c r="MGC82">
        <v>7076358</v>
      </c>
      <c r="MGD82" t="s">
        <v>262</v>
      </c>
      <c r="MGE82" t="s">
        <v>196</v>
      </c>
      <c r="MGF82">
        <v>53248</v>
      </c>
      <c r="MGG82" t="s">
        <v>260</v>
      </c>
      <c r="MGH82">
        <v>44048</v>
      </c>
      <c r="MGI82">
        <v>44048</v>
      </c>
      <c r="MGJ82">
        <v>7076358</v>
      </c>
      <c r="MGK82">
        <v>0</v>
      </c>
      <c r="MGL82" t="s">
        <v>254</v>
      </c>
      <c r="MGM82">
        <v>830037946</v>
      </c>
      <c r="MGN82" t="s">
        <v>260</v>
      </c>
      <c r="MGO82">
        <v>131</v>
      </c>
      <c r="MGP82" t="s">
        <v>261</v>
      </c>
      <c r="MGQ82">
        <v>54018</v>
      </c>
      <c r="MGR82">
        <v>0</v>
      </c>
      <c r="MGS82">
        <v>7076358</v>
      </c>
      <c r="MGT82" t="s">
        <v>262</v>
      </c>
      <c r="MGU82" t="s">
        <v>196</v>
      </c>
      <c r="MGV82">
        <v>53248</v>
      </c>
      <c r="MGW82" t="s">
        <v>260</v>
      </c>
      <c r="MGX82">
        <v>44048</v>
      </c>
      <c r="MGY82">
        <v>44048</v>
      </c>
      <c r="MGZ82">
        <v>7076358</v>
      </c>
      <c r="MHA82">
        <v>0</v>
      </c>
      <c r="MHB82" t="s">
        <v>254</v>
      </c>
      <c r="MHC82">
        <v>830037946</v>
      </c>
      <c r="MHD82" t="s">
        <v>260</v>
      </c>
      <c r="MHE82">
        <v>131</v>
      </c>
      <c r="MHF82" t="s">
        <v>261</v>
      </c>
      <c r="MHG82">
        <v>54018</v>
      </c>
      <c r="MHH82">
        <v>0</v>
      </c>
      <c r="MHI82">
        <v>7076358</v>
      </c>
      <c r="MHJ82" t="s">
        <v>262</v>
      </c>
      <c r="MHK82" t="s">
        <v>196</v>
      </c>
      <c r="MHL82">
        <v>53248</v>
      </c>
      <c r="MHM82" t="s">
        <v>260</v>
      </c>
      <c r="MHN82">
        <v>44048</v>
      </c>
      <c r="MHO82">
        <v>44048</v>
      </c>
      <c r="MHP82">
        <v>7076358</v>
      </c>
      <c r="MHQ82">
        <v>0</v>
      </c>
      <c r="MHR82" t="s">
        <v>254</v>
      </c>
      <c r="MHS82">
        <v>830037946</v>
      </c>
      <c r="MHT82" t="s">
        <v>260</v>
      </c>
      <c r="MHU82">
        <v>131</v>
      </c>
      <c r="MHV82" t="s">
        <v>261</v>
      </c>
      <c r="MHW82">
        <v>54018</v>
      </c>
      <c r="MHX82">
        <v>0</v>
      </c>
      <c r="MHY82">
        <v>7076358</v>
      </c>
      <c r="MHZ82" t="s">
        <v>262</v>
      </c>
      <c r="MIA82" t="s">
        <v>196</v>
      </c>
      <c r="MIB82">
        <v>53248</v>
      </c>
      <c r="MIC82" t="s">
        <v>260</v>
      </c>
      <c r="MID82">
        <v>44048</v>
      </c>
      <c r="MIE82">
        <v>44048</v>
      </c>
      <c r="MIF82">
        <v>7076358</v>
      </c>
      <c r="MIG82">
        <v>0</v>
      </c>
      <c r="MIH82" t="s">
        <v>254</v>
      </c>
      <c r="MII82">
        <v>830037946</v>
      </c>
      <c r="MIJ82" t="s">
        <v>260</v>
      </c>
      <c r="MIK82">
        <v>131</v>
      </c>
      <c r="MIL82" t="s">
        <v>261</v>
      </c>
      <c r="MIM82">
        <v>54018</v>
      </c>
      <c r="MIN82">
        <v>0</v>
      </c>
      <c r="MIO82">
        <v>7076358</v>
      </c>
      <c r="MIP82" t="s">
        <v>262</v>
      </c>
      <c r="MIQ82" t="s">
        <v>196</v>
      </c>
      <c r="MIR82">
        <v>53248</v>
      </c>
      <c r="MIS82" t="s">
        <v>260</v>
      </c>
      <c r="MIT82">
        <v>44048</v>
      </c>
      <c r="MIU82">
        <v>44048</v>
      </c>
      <c r="MIV82">
        <v>7076358</v>
      </c>
      <c r="MIW82">
        <v>0</v>
      </c>
      <c r="MIX82" t="s">
        <v>254</v>
      </c>
      <c r="MIY82">
        <v>830037946</v>
      </c>
      <c r="MIZ82" t="s">
        <v>260</v>
      </c>
      <c r="MJA82">
        <v>131</v>
      </c>
      <c r="MJB82" t="s">
        <v>261</v>
      </c>
      <c r="MJC82">
        <v>54018</v>
      </c>
      <c r="MJD82">
        <v>0</v>
      </c>
      <c r="MJE82">
        <v>7076358</v>
      </c>
      <c r="MJF82" t="s">
        <v>262</v>
      </c>
      <c r="MJG82" t="s">
        <v>196</v>
      </c>
      <c r="MJH82">
        <v>53248</v>
      </c>
      <c r="MJI82" t="s">
        <v>260</v>
      </c>
      <c r="MJJ82">
        <v>44048</v>
      </c>
      <c r="MJK82">
        <v>44048</v>
      </c>
      <c r="MJL82">
        <v>7076358</v>
      </c>
      <c r="MJM82">
        <v>0</v>
      </c>
      <c r="MJN82" t="s">
        <v>254</v>
      </c>
      <c r="MJO82">
        <v>830037946</v>
      </c>
      <c r="MJP82" t="s">
        <v>260</v>
      </c>
      <c r="MJQ82">
        <v>131</v>
      </c>
      <c r="MJR82" t="s">
        <v>261</v>
      </c>
      <c r="MJS82">
        <v>54018</v>
      </c>
      <c r="MJT82">
        <v>0</v>
      </c>
      <c r="MJU82">
        <v>7076358</v>
      </c>
      <c r="MJV82" t="s">
        <v>262</v>
      </c>
      <c r="MJW82" t="s">
        <v>196</v>
      </c>
      <c r="MJX82">
        <v>53248</v>
      </c>
      <c r="MJY82" t="s">
        <v>260</v>
      </c>
      <c r="MJZ82">
        <v>44048</v>
      </c>
      <c r="MKA82">
        <v>44048</v>
      </c>
      <c r="MKB82">
        <v>7076358</v>
      </c>
      <c r="MKC82">
        <v>0</v>
      </c>
      <c r="MKD82" t="s">
        <v>254</v>
      </c>
      <c r="MKE82">
        <v>830037946</v>
      </c>
      <c r="MKF82" t="s">
        <v>260</v>
      </c>
      <c r="MKG82">
        <v>131</v>
      </c>
      <c r="MKH82" t="s">
        <v>261</v>
      </c>
      <c r="MKI82">
        <v>54018</v>
      </c>
      <c r="MKJ82">
        <v>0</v>
      </c>
      <c r="MKK82">
        <v>7076358</v>
      </c>
      <c r="MKL82" t="s">
        <v>262</v>
      </c>
      <c r="MKM82" t="s">
        <v>196</v>
      </c>
      <c r="MKN82">
        <v>53248</v>
      </c>
      <c r="MKO82" t="s">
        <v>260</v>
      </c>
      <c r="MKP82">
        <v>44048</v>
      </c>
      <c r="MKQ82">
        <v>44048</v>
      </c>
      <c r="MKR82">
        <v>7076358</v>
      </c>
      <c r="MKS82">
        <v>0</v>
      </c>
      <c r="MKT82" t="s">
        <v>254</v>
      </c>
      <c r="MKU82">
        <v>830037946</v>
      </c>
      <c r="MKV82" t="s">
        <v>260</v>
      </c>
      <c r="MKW82">
        <v>131</v>
      </c>
      <c r="MKX82" t="s">
        <v>261</v>
      </c>
      <c r="MKY82">
        <v>54018</v>
      </c>
      <c r="MKZ82">
        <v>0</v>
      </c>
      <c r="MLA82">
        <v>7076358</v>
      </c>
      <c r="MLB82" t="s">
        <v>262</v>
      </c>
      <c r="MLC82" t="s">
        <v>196</v>
      </c>
      <c r="MLD82">
        <v>53248</v>
      </c>
      <c r="MLE82" t="s">
        <v>260</v>
      </c>
      <c r="MLF82">
        <v>44048</v>
      </c>
      <c r="MLG82">
        <v>44048</v>
      </c>
      <c r="MLH82">
        <v>7076358</v>
      </c>
      <c r="MLI82">
        <v>0</v>
      </c>
      <c r="MLJ82" t="s">
        <v>254</v>
      </c>
      <c r="MLK82">
        <v>830037946</v>
      </c>
      <c r="MLL82" t="s">
        <v>260</v>
      </c>
      <c r="MLM82">
        <v>131</v>
      </c>
      <c r="MLN82" t="s">
        <v>261</v>
      </c>
      <c r="MLO82">
        <v>54018</v>
      </c>
      <c r="MLP82">
        <v>0</v>
      </c>
      <c r="MLQ82">
        <v>7076358</v>
      </c>
      <c r="MLR82" t="s">
        <v>262</v>
      </c>
      <c r="MLS82" t="s">
        <v>196</v>
      </c>
      <c r="MLT82">
        <v>53248</v>
      </c>
      <c r="MLU82" t="s">
        <v>260</v>
      </c>
      <c r="MLV82">
        <v>44048</v>
      </c>
      <c r="MLW82">
        <v>44048</v>
      </c>
      <c r="MLX82">
        <v>7076358</v>
      </c>
      <c r="MLY82">
        <v>0</v>
      </c>
      <c r="MLZ82" t="s">
        <v>254</v>
      </c>
      <c r="MMA82">
        <v>830037946</v>
      </c>
      <c r="MMB82" t="s">
        <v>260</v>
      </c>
      <c r="MMC82">
        <v>131</v>
      </c>
      <c r="MMD82" t="s">
        <v>261</v>
      </c>
      <c r="MME82">
        <v>54018</v>
      </c>
      <c r="MMF82">
        <v>0</v>
      </c>
      <c r="MMG82">
        <v>7076358</v>
      </c>
      <c r="MMH82" t="s">
        <v>262</v>
      </c>
      <c r="MMI82" t="s">
        <v>196</v>
      </c>
      <c r="MMJ82">
        <v>53248</v>
      </c>
      <c r="MMK82" t="s">
        <v>260</v>
      </c>
      <c r="MML82">
        <v>44048</v>
      </c>
      <c r="MMM82">
        <v>44048</v>
      </c>
      <c r="MMN82">
        <v>7076358</v>
      </c>
      <c r="MMO82">
        <v>0</v>
      </c>
      <c r="MMP82" t="s">
        <v>254</v>
      </c>
      <c r="MMQ82">
        <v>830037946</v>
      </c>
      <c r="MMR82" t="s">
        <v>260</v>
      </c>
      <c r="MMS82">
        <v>131</v>
      </c>
      <c r="MMT82" t="s">
        <v>261</v>
      </c>
      <c r="MMU82">
        <v>54018</v>
      </c>
      <c r="MMV82">
        <v>0</v>
      </c>
      <c r="MMW82">
        <v>7076358</v>
      </c>
      <c r="MMX82" t="s">
        <v>262</v>
      </c>
      <c r="MMY82" t="s">
        <v>196</v>
      </c>
      <c r="MMZ82">
        <v>53248</v>
      </c>
      <c r="MNA82" t="s">
        <v>260</v>
      </c>
      <c r="MNB82">
        <v>44048</v>
      </c>
      <c r="MNC82">
        <v>44048</v>
      </c>
      <c r="MND82">
        <v>7076358</v>
      </c>
      <c r="MNE82">
        <v>0</v>
      </c>
      <c r="MNF82" t="s">
        <v>254</v>
      </c>
      <c r="MNG82">
        <v>830037946</v>
      </c>
      <c r="MNH82" t="s">
        <v>260</v>
      </c>
      <c r="MNI82">
        <v>131</v>
      </c>
      <c r="MNJ82" t="s">
        <v>261</v>
      </c>
      <c r="MNK82">
        <v>54018</v>
      </c>
      <c r="MNL82">
        <v>0</v>
      </c>
      <c r="MNM82">
        <v>7076358</v>
      </c>
      <c r="MNN82" t="s">
        <v>262</v>
      </c>
      <c r="MNO82" t="s">
        <v>196</v>
      </c>
      <c r="MNP82">
        <v>53248</v>
      </c>
      <c r="MNQ82" t="s">
        <v>260</v>
      </c>
      <c r="MNR82">
        <v>44048</v>
      </c>
      <c r="MNS82">
        <v>44048</v>
      </c>
      <c r="MNT82">
        <v>7076358</v>
      </c>
      <c r="MNU82">
        <v>0</v>
      </c>
      <c r="MNV82" t="s">
        <v>254</v>
      </c>
      <c r="MNW82">
        <v>830037946</v>
      </c>
      <c r="MNX82" t="s">
        <v>260</v>
      </c>
      <c r="MNY82">
        <v>131</v>
      </c>
      <c r="MNZ82" t="s">
        <v>261</v>
      </c>
      <c r="MOA82">
        <v>54018</v>
      </c>
      <c r="MOB82">
        <v>0</v>
      </c>
      <c r="MOC82">
        <v>7076358</v>
      </c>
      <c r="MOD82" t="s">
        <v>262</v>
      </c>
      <c r="MOE82" t="s">
        <v>196</v>
      </c>
      <c r="MOF82">
        <v>53248</v>
      </c>
      <c r="MOG82" t="s">
        <v>260</v>
      </c>
      <c r="MOH82">
        <v>44048</v>
      </c>
      <c r="MOI82">
        <v>44048</v>
      </c>
      <c r="MOJ82">
        <v>7076358</v>
      </c>
      <c r="MOK82">
        <v>0</v>
      </c>
      <c r="MOL82" t="s">
        <v>254</v>
      </c>
      <c r="MOM82">
        <v>830037946</v>
      </c>
      <c r="MON82" t="s">
        <v>260</v>
      </c>
      <c r="MOO82">
        <v>131</v>
      </c>
      <c r="MOP82" t="s">
        <v>261</v>
      </c>
      <c r="MOQ82">
        <v>54018</v>
      </c>
      <c r="MOR82">
        <v>0</v>
      </c>
      <c r="MOS82">
        <v>7076358</v>
      </c>
      <c r="MOT82" t="s">
        <v>262</v>
      </c>
      <c r="MOU82" t="s">
        <v>196</v>
      </c>
      <c r="MOV82">
        <v>53248</v>
      </c>
      <c r="MOW82" t="s">
        <v>260</v>
      </c>
      <c r="MOX82">
        <v>44048</v>
      </c>
      <c r="MOY82">
        <v>44048</v>
      </c>
      <c r="MOZ82">
        <v>7076358</v>
      </c>
      <c r="MPA82">
        <v>0</v>
      </c>
      <c r="MPB82" t="s">
        <v>254</v>
      </c>
      <c r="MPC82">
        <v>830037946</v>
      </c>
      <c r="MPD82" t="s">
        <v>260</v>
      </c>
      <c r="MPE82">
        <v>131</v>
      </c>
      <c r="MPF82" t="s">
        <v>261</v>
      </c>
      <c r="MPG82">
        <v>54018</v>
      </c>
      <c r="MPH82">
        <v>0</v>
      </c>
      <c r="MPI82">
        <v>7076358</v>
      </c>
      <c r="MPJ82" t="s">
        <v>262</v>
      </c>
      <c r="MPK82" t="s">
        <v>196</v>
      </c>
      <c r="MPL82">
        <v>53248</v>
      </c>
      <c r="MPM82" t="s">
        <v>260</v>
      </c>
      <c r="MPN82">
        <v>44048</v>
      </c>
      <c r="MPO82">
        <v>44048</v>
      </c>
      <c r="MPP82">
        <v>7076358</v>
      </c>
      <c r="MPQ82">
        <v>0</v>
      </c>
      <c r="MPR82" t="s">
        <v>254</v>
      </c>
      <c r="MPS82">
        <v>830037946</v>
      </c>
      <c r="MPT82" t="s">
        <v>260</v>
      </c>
      <c r="MPU82">
        <v>131</v>
      </c>
      <c r="MPV82" t="s">
        <v>261</v>
      </c>
      <c r="MPW82">
        <v>54018</v>
      </c>
      <c r="MPX82">
        <v>0</v>
      </c>
      <c r="MPY82">
        <v>7076358</v>
      </c>
      <c r="MPZ82" t="s">
        <v>262</v>
      </c>
      <c r="MQA82" t="s">
        <v>196</v>
      </c>
      <c r="MQB82">
        <v>53248</v>
      </c>
      <c r="MQC82" t="s">
        <v>260</v>
      </c>
      <c r="MQD82">
        <v>44048</v>
      </c>
      <c r="MQE82">
        <v>44048</v>
      </c>
      <c r="MQF82">
        <v>7076358</v>
      </c>
      <c r="MQG82">
        <v>0</v>
      </c>
      <c r="MQH82" t="s">
        <v>254</v>
      </c>
      <c r="MQI82">
        <v>830037946</v>
      </c>
      <c r="MQJ82" t="s">
        <v>260</v>
      </c>
      <c r="MQK82">
        <v>131</v>
      </c>
      <c r="MQL82" t="s">
        <v>261</v>
      </c>
      <c r="MQM82">
        <v>54018</v>
      </c>
      <c r="MQN82">
        <v>0</v>
      </c>
      <c r="MQO82">
        <v>7076358</v>
      </c>
      <c r="MQP82" t="s">
        <v>262</v>
      </c>
      <c r="MQQ82" t="s">
        <v>196</v>
      </c>
      <c r="MQR82">
        <v>53248</v>
      </c>
      <c r="MQS82" t="s">
        <v>260</v>
      </c>
      <c r="MQT82">
        <v>44048</v>
      </c>
      <c r="MQU82">
        <v>44048</v>
      </c>
      <c r="MQV82">
        <v>7076358</v>
      </c>
      <c r="MQW82">
        <v>0</v>
      </c>
      <c r="MQX82" t="s">
        <v>254</v>
      </c>
      <c r="MQY82">
        <v>830037946</v>
      </c>
      <c r="MQZ82" t="s">
        <v>260</v>
      </c>
      <c r="MRA82">
        <v>131</v>
      </c>
      <c r="MRB82" t="s">
        <v>261</v>
      </c>
      <c r="MRC82">
        <v>54018</v>
      </c>
      <c r="MRD82">
        <v>0</v>
      </c>
      <c r="MRE82">
        <v>7076358</v>
      </c>
      <c r="MRF82" t="s">
        <v>262</v>
      </c>
      <c r="MRG82" t="s">
        <v>196</v>
      </c>
      <c r="MRH82">
        <v>53248</v>
      </c>
      <c r="MRI82" t="s">
        <v>260</v>
      </c>
      <c r="MRJ82">
        <v>44048</v>
      </c>
      <c r="MRK82">
        <v>44048</v>
      </c>
      <c r="MRL82">
        <v>7076358</v>
      </c>
      <c r="MRM82">
        <v>0</v>
      </c>
      <c r="MRN82" t="s">
        <v>254</v>
      </c>
      <c r="MRO82">
        <v>830037946</v>
      </c>
      <c r="MRP82" t="s">
        <v>260</v>
      </c>
      <c r="MRQ82">
        <v>131</v>
      </c>
      <c r="MRR82" t="s">
        <v>261</v>
      </c>
      <c r="MRS82">
        <v>54018</v>
      </c>
      <c r="MRT82">
        <v>0</v>
      </c>
      <c r="MRU82">
        <v>7076358</v>
      </c>
      <c r="MRV82" t="s">
        <v>262</v>
      </c>
      <c r="MRW82" t="s">
        <v>196</v>
      </c>
      <c r="MRX82">
        <v>53248</v>
      </c>
      <c r="MRY82" t="s">
        <v>260</v>
      </c>
      <c r="MRZ82">
        <v>44048</v>
      </c>
      <c r="MSA82">
        <v>44048</v>
      </c>
      <c r="MSB82">
        <v>7076358</v>
      </c>
      <c r="MSC82">
        <v>0</v>
      </c>
      <c r="MSD82" t="s">
        <v>254</v>
      </c>
      <c r="MSE82">
        <v>830037946</v>
      </c>
      <c r="MSF82" t="s">
        <v>260</v>
      </c>
      <c r="MSG82">
        <v>131</v>
      </c>
      <c r="MSH82" t="s">
        <v>261</v>
      </c>
      <c r="MSI82">
        <v>54018</v>
      </c>
      <c r="MSJ82">
        <v>0</v>
      </c>
      <c r="MSK82">
        <v>7076358</v>
      </c>
      <c r="MSL82" t="s">
        <v>262</v>
      </c>
      <c r="MSM82" t="s">
        <v>196</v>
      </c>
      <c r="MSN82">
        <v>53248</v>
      </c>
      <c r="MSO82" t="s">
        <v>260</v>
      </c>
      <c r="MSP82">
        <v>44048</v>
      </c>
      <c r="MSQ82">
        <v>44048</v>
      </c>
      <c r="MSR82">
        <v>7076358</v>
      </c>
      <c r="MSS82">
        <v>0</v>
      </c>
      <c r="MST82" t="s">
        <v>254</v>
      </c>
      <c r="MSU82">
        <v>830037946</v>
      </c>
      <c r="MSV82" t="s">
        <v>260</v>
      </c>
      <c r="MSW82">
        <v>131</v>
      </c>
      <c r="MSX82" t="s">
        <v>261</v>
      </c>
      <c r="MSY82">
        <v>54018</v>
      </c>
      <c r="MSZ82">
        <v>0</v>
      </c>
      <c r="MTA82">
        <v>7076358</v>
      </c>
      <c r="MTB82" t="s">
        <v>262</v>
      </c>
      <c r="MTC82" t="s">
        <v>196</v>
      </c>
      <c r="MTD82">
        <v>53248</v>
      </c>
      <c r="MTE82" t="s">
        <v>260</v>
      </c>
      <c r="MTF82">
        <v>44048</v>
      </c>
      <c r="MTG82">
        <v>44048</v>
      </c>
      <c r="MTH82">
        <v>7076358</v>
      </c>
      <c r="MTI82">
        <v>0</v>
      </c>
      <c r="MTJ82" t="s">
        <v>254</v>
      </c>
      <c r="MTK82">
        <v>830037946</v>
      </c>
      <c r="MTL82" t="s">
        <v>260</v>
      </c>
      <c r="MTM82">
        <v>131</v>
      </c>
      <c r="MTN82" t="s">
        <v>261</v>
      </c>
      <c r="MTO82">
        <v>54018</v>
      </c>
      <c r="MTP82">
        <v>0</v>
      </c>
      <c r="MTQ82">
        <v>7076358</v>
      </c>
      <c r="MTR82" t="s">
        <v>262</v>
      </c>
      <c r="MTS82" t="s">
        <v>196</v>
      </c>
      <c r="MTT82">
        <v>53248</v>
      </c>
      <c r="MTU82" t="s">
        <v>260</v>
      </c>
      <c r="MTV82">
        <v>44048</v>
      </c>
      <c r="MTW82">
        <v>44048</v>
      </c>
      <c r="MTX82">
        <v>7076358</v>
      </c>
      <c r="MTY82">
        <v>0</v>
      </c>
      <c r="MTZ82" t="s">
        <v>254</v>
      </c>
      <c r="MUA82">
        <v>830037946</v>
      </c>
      <c r="MUB82" t="s">
        <v>260</v>
      </c>
      <c r="MUC82">
        <v>131</v>
      </c>
      <c r="MUD82" t="s">
        <v>261</v>
      </c>
      <c r="MUE82">
        <v>54018</v>
      </c>
      <c r="MUF82">
        <v>0</v>
      </c>
      <c r="MUG82">
        <v>7076358</v>
      </c>
      <c r="MUH82" t="s">
        <v>262</v>
      </c>
      <c r="MUI82" t="s">
        <v>196</v>
      </c>
      <c r="MUJ82">
        <v>53248</v>
      </c>
      <c r="MUK82" t="s">
        <v>260</v>
      </c>
      <c r="MUL82">
        <v>44048</v>
      </c>
      <c r="MUM82">
        <v>44048</v>
      </c>
      <c r="MUN82">
        <v>7076358</v>
      </c>
      <c r="MUO82">
        <v>0</v>
      </c>
      <c r="MUP82" t="s">
        <v>254</v>
      </c>
      <c r="MUQ82">
        <v>830037946</v>
      </c>
      <c r="MUR82" t="s">
        <v>260</v>
      </c>
      <c r="MUS82">
        <v>131</v>
      </c>
      <c r="MUT82" t="s">
        <v>261</v>
      </c>
      <c r="MUU82">
        <v>54018</v>
      </c>
      <c r="MUV82">
        <v>0</v>
      </c>
      <c r="MUW82">
        <v>7076358</v>
      </c>
      <c r="MUX82" t="s">
        <v>262</v>
      </c>
      <c r="MUY82" t="s">
        <v>196</v>
      </c>
      <c r="MUZ82">
        <v>53248</v>
      </c>
      <c r="MVA82" t="s">
        <v>260</v>
      </c>
      <c r="MVB82">
        <v>44048</v>
      </c>
      <c r="MVC82">
        <v>44048</v>
      </c>
      <c r="MVD82">
        <v>7076358</v>
      </c>
      <c r="MVE82">
        <v>0</v>
      </c>
      <c r="MVF82" t="s">
        <v>254</v>
      </c>
      <c r="MVG82">
        <v>830037946</v>
      </c>
      <c r="MVH82" t="s">
        <v>260</v>
      </c>
      <c r="MVI82">
        <v>131</v>
      </c>
      <c r="MVJ82" t="s">
        <v>261</v>
      </c>
      <c r="MVK82">
        <v>54018</v>
      </c>
      <c r="MVL82">
        <v>0</v>
      </c>
      <c r="MVM82">
        <v>7076358</v>
      </c>
      <c r="MVN82" t="s">
        <v>262</v>
      </c>
      <c r="MVO82" t="s">
        <v>196</v>
      </c>
      <c r="MVP82">
        <v>53248</v>
      </c>
      <c r="MVQ82" t="s">
        <v>260</v>
      </c>
      <c r="MVR82">
        <v>44048</v>
      </c>
      <c r="MVS82">
        <v>44048</v>
      </c>
      <c r="MVT82">
        <v>7076358</v>
      </c>
      <c r="MVU82">
        <v>0</v>
      </c>
      <c r="MVV82" t="s">
        <v>254</v>
      </c>
      <c r="MVW82">
        <v>830037946</v>
      </c>
      <c r="MVX82" t="s">
        <v>260</v>
      </c>
      <c r="MVY82">
        <v>131</v>
      </c>
      <c r="MVZ82" t="s">
        <v>261</v>
      </c>
      <c r="MWA82">
        <v>54018</v>
      </c>
      <c r="MWB82">
        <v>0</v>
      </c>
      <c r="MWC82">
        <v>7076358</v>
      </c>
      <c r="MWD82" t="s">
        <v>262</v>
      </c>
      <c r="MWE82" t="s">
        <v>196</v>
      </c>
      <c r="MWF82">
        <v>53248</v>
      </c>
      <c r="MWG82" t="s">
        <v>260</v>
      </c>
      <c r="MWH82">
        <v>44048</v>
      </c>
      <c r="MWI82">
        <v>44048</v>
      </c>
      <c r="MWJ82">
        <v>7076358</v>
      </c>
      <c r="MWK82">
        <v>0</v>
      </c>
      <c r="MWL82" t="s">
        <v>254</v>
      </c>
      <c r="MWM82">
        <v>830037946</v>
      </c>
      <c r="MWN82" t="s">
        <v>260</v>
      </c>
      <c r="MWO82">
        <v>131</v>
      </c>
      <c r="MWP82" t="s">
        <v>261</v>
      </c>
      <c r="MWQ82">
        <v>54018</v>
      </c>
      <c r="MWR82">
        <v>0</v>
      </c>
      <c r="MWS82">
        <v>7076358</v>
      </c>
      <c r="MWT82" t="s">
        <v>262</v>
      </c>
      <c r="MWU82" t="s">
        <v>196</v>
      </c>
      <c r="MWV82">
        <v>53248</v>
      </c>
      <c r="MWW82" t="s">
        <v>260</v>
      </c>
      <c r="MWX82">
        <v>44048</v>
      </c>
      <c r="MWY82">
        <v>44048</v>
      </c>
      <c r="MWZ82">
        <v>7076358</v>
      </c>
      <c r="MXA82">
        <v>0</v>
      </c>
      <c r="MXB82" t="s">
        <v>254</v>
      </c>
      <c r="MXC82">
        <v>830037946</v>
      </c>
      <c r="MXD82" t="s">
        <v>260</v>
      </c>
      <c r="MXE82">
        <v>131</v>
      </c>
      <c r="MXF82" t="s">
        <v>261</v>
      </c>
      <c r="MXG82">
        <v>54018</v>
      </c>
      <c r="MXH82">
        <v>0</v>
      </c>
      <c r="MXI82">
        <v>7076358</v>
      </c>
      <c r="MXJ82" t="s">
        <v>262</v>
      </c>
      <c r="MXK82" t="s">
        <v>196</v>
      </c>
      <c r="MXL82">
        <v>53248</v>
      </c>
      <c r="MXM82" t="s">
        <v>260</v>
      </c>
      <c r="MXN82">
        <v>44048</v>
      </c>
      <c r="MXO82">
        <v>44048</v>
      </c>
      <c r="MXP82">
        <v>7076358</v>
      </c>
      <c r="MXQ82">
        <v>0</v>
      </c>
      <c r="MXR82" t="s">
        <v>254</v>
      </c>
      <c r="MXS82">
        <v>830037946</v>
      </c>
      <c r="MXT82" t="s">
        <v>260</v>
      </c>
      <c r="MXU82">
        <v>131</v>
      </c>
      <c r="MXV82" t="s">
        <v>261</v>
      </c>
      <c r="MXW82">
        <v>54018</v>
      </c>
      <c r="MXX82">
        <v>0</v>
      </c>
      <c r="MXY82">
        <v>7076358</v>
      </c>
      <c r="MXZ82" t="s">
        <v>262</v>
      </c>
      <c r="MYA82" t="s">
        <v>196</v>
      </c>
      <c r="MYB82">
        <v>53248</v>
      </c>
      <c r="MYC82" t="s">
        <v>260</v>
      </c>
      <c r="MYD82">
        <v>44048</v>
      </c>
      <c r="MYE82">
        <v>44048</v>
      </c>
      <c r="MYF82">
        <v>7076358</v>
      </c>
      <c r="MYG82">
        <v>0</v>
      </c>
      <c r="MYH82" t="s">
        <v>254</v>
      </c>
      <c r="MYI82">
        <v>830037946</v>
      </c>
      <c r="MYJ82" t="s">
        <v>260</v>
      </c>
      <c r="MYK82">
        <v>131</v>
      </c>
      <c r="MYL82" t="s">
        <v>261</v>
      </c>
      <c r="MYM82">
        <v>54018</v>
      </c>
      <c r="MYN82">
        <v>0</v>
      </c>
      <c r="MYO82">
        <v>7076358</v>
      </c>
      <c r="MYP82" t="s">
        <v>262</v>
      </c>
      <c r="MYQ82" t="s">
        <v>196</v>
      </c>
      <c r="MYR82">
        <v>53248</v>
      </c>
      <c r="MYS82" t="s">
        <v>260</v>
      </c>
      <c r="MYT82">
        <v>44048</v>
      </c>
      <c r="MYU82">
        <v>44048</v>
      </c>
      <c r="MYV82">
        <v>7076358</v>
      </c>
      <c r="MYW82">
        <v>0</v>
      </c>
      <c r="MYX82" t="s">
        <v>254</v>
      </c>
      <c r="MYY82">
        <v>830037946</v>
      </c>
      <c r="MYZ82" t="s">
        <v>260</v>
      </c>
      <c r="MZA82">
        <v>131</v>
      </c>
      <c r="MZB82" t="s">
        <v>261</v>
      </c>
      <c r="MZC82">
        <v>54018</v>
      </c>
      <c r="MZD82">
        <v>0</v>
      </c>
      <c r="MZE82">
        <v>7076358</v>
      </c>
      <c r="MZF82" t="s">
        <v>262</v>
      </c>
      <c r="MZG82" t="s">
        <v>196</v>
      </c>
      <c r="MZH82">
        <v>53248</v>
      </c>
      <c r="MZI82" t="s">
        <v>260</v>
      </c>
      <c r="MZJ82">
        <v>44048</v>
      </c>
      <c r="MZK82">
        <v>44048</v>
      </c>
      <c r="MZL82">
        <v>7076358</v>
      </c>
      <c r="MZM82">
        <v>0</v>
      </c>
      <c r="MZN82" t="s">
        <v>254</v>
      </c>
      <c r="MZO82">
        <v>830037946</v>
      </c>
      <c r="MZP82" t="s">
        <v>260</v>
      </c>
      <c r="MZQ82">
        <v>131</v>
      </c>
      <c r="MZR82" t="s">
        <v>261</v>
      </c>
      <c r="MZS82">
        <v>54018</v>
      </c>
      <c r="MZT82">
        <v>0</v>
      </c>
      <c r="MZU82">
        <v>7076358</v>
      </c>
      <c r="MZV82" t="s">
        <v>262</v>
      </c>
      <c r="MZW82" t="s">
        <v>196</v>
      </c>
      <c r="MZX82">
        <v>53248</v>
      </c>
      <c r="MZY82" t="s">
        <v>260</v>
      </c>
      <c r="MZZ82">
        <v>44048</v>
      </c>
      <c r="NAA82">
        <v>44048</v>
      </c>
      <c r="NAB82">
        <v>7076358</v>
      </c>
      <c r="NAC82">
        <v>0</v>
      </c>
      <c r="NAD82" t="s">
        <v>254</v>
      </c>
      <c r="NAE82">
        <v>830037946</v>
      </c>
      <c r="NAF82" t="s">
        <v>260</v>
      </c>
      <c r="NAG82">
        <v>131</v>
      </c>
      <c r="NAH82" t="s">
        <v>261</v>
      </c>
      <c r="NAI82">
        <v>54018</v>
      </c>
      <c r="NAJ82">
        <v>0</v>
      </c>
      <c r="NAK82">
        <v>7076358</v>
      </c>
      <c r="NAL82" t="s">
        <v>262</v>
      </c>
      <c r="NAM82" t="s">
        <v>196</v>
      </c>
      <c r="NAN82">
        <v>53248</v>
      </c>
      <c r="NAO82" t="s">
        <v>260</v>
      </c>
      <c r="NAP82">
        <v>44048</v>
      </c>
      <c r="NAQ82">
        <v>44048</v>
      </c>
      <c r="NAR82">
        <v>7076358</v>
      </c>
      <c r="NAS82">
        <v>0</v>
      </c>
      <c r="NAT82" t="s">
        <v>254</v>
      </c>
      <c r="NAU82">
        <v>830037946</v>
      </c>
      <c r="NAV82" t="s">
        <v>260</v>
      </c>
      <c r="NAW82">
        <v>131</v>
      </c>
      <c r="NAX82" t="s">
        <v>261</v>
      </c>
      <c r="NAY82">
        <v>54018</v>
      </c>
      <c r="NAZ82">
        <v>0</v>
      </c>
      <c r="NBA82">
        <v>7076358</v>
      </c>
      <c r="NBB82" t="s">
        <v>262</v>
      </c>
      <c r="NBC82" t="s">
        <v>196</v>
      </c>
      <c r="NBD82">
        <v>53248</v>
      </c>
      <c r="NBE82" t="s">
        <v>260</v>
      </c>
      <c r="NBF82">
        <v>44048</v>
      </c>
      <c r="NBG82">
        <v>44048</v>
      </c>
      <c r="NBH82">
        <v>7076358</v>
      </c>
      <c r="NBI82">
        <v>0</v>
      </c>
      <c r="NBJ82" t="s">
        <v>254</v>
      </c>
      <c r="NBK82">
        <v>830037946</v>
      </c>
      <c r="NBL82" t="s">
        <v>260</v>
      </c>
      <c r="NBM82">
        <v>131</v>
      </c>
      <c r="NBN82" t="s">
        <v>261</v>
      </c>
      <c r="NBO82">
        <v>54018</v>
      </c>
      <c r="NBP82">
        <v>0</v>
      </c>
      <c r="NBQ82">
        <v>7076358</v>
      </c>
      <c r="NBR82" t="s">
        <v>262</v>
      </c>
      <c r="NBS82" t="s">
        <v>196</v>
      </c>
      <c r="NBT82">
        <v>53248</v>
      </c>
      <c r="NBU82" t="s">
        <v>260</v>
      </c>
      <c r="NBV82">
        <v>44048</v>
      </c>
      <c r="NBW82">
        <v>44048</v>
      </c>
      <c r="NBX82">
        <v>7076358</v>
      </c>
      <c r="NBY82">
        <v>0</v>
      </c>
      <c r="NBZ82" t="s">
        <v>254</v>
      </c>
      <c r="NCA82">
        <v>830037946</v>
      </c>
      <c r="NCB82" t="s">
        <v>260</v>
      </c>
      <c r="NCC82">
        <v>131</v>
      </c>
      <c r="NCD82" t="s">
        <v>261</v>
      </c>
      <c r="NCE82">
        <v>54018</v>
      </c>
      <c r="NCF82">
        <v>0</v>
      </c>
      <c r="NCG82">
        <v>7076358</v>
      </c>
      <c r="NCH82" t="s">
        <v>262</v>
      </c>
      <c r="NCI82" t="s">
        <v>196</v>
      </c>
      <c r="NCJ82">
        <v>53248</v>
      </c>
      <c r="NCK82" t="s">
        <v>260</v>
      </c>
      <c r="NCL82">
        <v>44048</v>
      </c>
      <c r="NCM82">
        <v>44048</v>
      </c>
      <c r="NCN82">
        <v>7076358</v>
      </c>
      <c r="NCO82">
        <v>0</v>
      </c>
      <c r="NCP82" t="s">
        <v>254</v>
      </c>
      <c r="NCQ82">
        <v>830037946</v>
      </c>
      <c r="NCR82" t="s">
        <v>260</v>
      </c>
      <c r="NCS82">
        <v>131</v>
      </c>
      <c r="NCT82" t="s">
        <v>261</v>
      </c>
      <c r="NCU82">
        <v>54018</v>
      </c>
      <c r="NCV82">
        <v>0</v>
      </c>
      <c r="NCW82">
        <v>7076358</v>
      </c>
      <c r="NCX82" t="s">
        <v>262</v>
      </c>
      <c r="NCY82" t="s">
        <v>196</v>
      </c>
      <c r="NCZ82">
        <v>53248</v>
      </c>
      <c r="NDA82" t="s">
        <v>260</v>
      </c>
      <c r="NDB82">
        <v>44048</v>
      </c>
      <c r="NDC82">
        <v>44048</v>
      </c>
      <c r="NDD82">
        <v>7076358</v>
      </c>
      <c r="NDE82">
        <v>0</v>
      </c>
      <c r="NDF82" t="s">
        <v>254</v>
      </c>
      <c r="NDG82">
        <v>830037946</v>
      </c>
      <c r="NDH82" t="s">
        <v>260</v>
      </c>
      <c r="NDI82">
        <v>131</v>
      </c>
      <c r="NDJ82" t="s">
        <v>261</v>
      </c>
      <c r="NDK82">
        <v>54018</v>
      </c>
      <c r="NDL82">
        <v>0</v>
      </c>
      <c r="NDM82">
        <v>7076358</v>
      </c>
      <c r="NDN82" t="s">
        <v>262</v>
      </c>
      <c r="NDO82" t="s">
        <v>196</v>
      </c>
      <c r="NDP82">
        <v>53248</v>
      </c>
      <c r="NDQ82" t="s">
        <v>260</v>
      </c>
      <c r="NDR82">
        <v>44048</v>
      </c>
      <c r="NDS82">
        <v>44048</v>
      </c>
      <c r="NDT82">
        <v>7076358</v>
      </c>
      <c r="NDU82">
        <v>0</v>
      </c>
      <c r="NDV82" t="s">
        <v>254</v>
      </c>
      <c r="NDW82">
        <v>830037946</v>
      </c>
      <c r="NDX82" t="s">
        <v>260</v>
      </c>
      <c r="NDY82">
        <v>131</v>
      </c>
      <c r="NDZ82" t="s">
        <v>261</v>
      </c>
      <c r="NEA82">
        <v>54018</v>
      </c>
      <c r="NEB82">
        <v>0</v>
      </c>
      <c r="NEC82">
        <v>7076358</v>
      </c>
      <c r="NED82" t="s">
        <v>262</v>
      </c>
      <c r="NEE82" t="s">
        <v>196</v>
      </c>
      <c r="NEF82">
        <v>53248</v>
      </c>
      <c r="NEG82" t="s">
        <v>260</v>
      </c>
      <c r="NEH82">
        <v>44048</v>
      </c>
      <c r="NEI82">
        <v>44048</v>
      </c>
      <c r="NEJ82">
        <v>7076358</v>
      </c>
      <c r="NEK82">
        <v>0</v>
      </c>
      <c r="NEL82" t="s">
        <v>254</v>
      </c>
      <c r="NEM82">
        <v>830037946</v>
      </c>
      <c r="NEN82" t="s">
        <v>260</v>
      </c>
      <c r="NEO82">
        <v>131</v>
      </c>
      <c r="NEP82" t="s">
        <v>261</v>
      </c>
      <c r="NEQ82">
        <v>54018</v>
      </c>
      <c r="NER82">
        <v>0</v>
      </c>
      <c r="NES82">
        <v>7076358</v>
      </c>
      <c r="NET82" t="s">
        <v>262</v>
      </c>
      <c r="NEU82" t="s">
        <v>196</v>
      </c>
      <c r="NEV82">
        <v>53248</v>
      </c>
      <c r="NEW82" t="s">
        <v>260</v>
      </c>
      <c r="NEX82">
        <v>44048</v>
      </c>
      <c r="NEY82">
        <v>44048</v>
      </c>
      <c r="NEZ82">
        <v>7076358</v>
      </c>
      <c r="NFA82">
        <v>0</v>
      </c>
      <c r="NFB82" t="s">
        <v>254</v>
      </c>
      <c r="NFC82">
        <v>830037946</v>
      </c>
      <c r="NFD82" t="s">
        <v>260</v>
      </c>
      <c r="NFE82">
        <v>131</v>
      </c>
      <c r="NFF82" t="s">
        <v>261</v>
      </c>
      <c r="NFG82">
        <v>54018</v>
      </c>
      <c r="NFH82">
        <v>0</v>
      </c>
      <c r="NFI82">
        <v>7076358</v>
      </c>
      <c r="NFJ82" t="s">
        <v>262</v>
      </c>
      <c r="NFK82" t="s">
        <v>196</v>
      </c>
      <c r="NFL82">
        <v>53248</v>
      </c>
      <c r="NFM82" t="s">
        <v>260</v>
      </c>
      <c r="NFN82">
        <v>44048</v>
      </c>
      <c r="NFO82">
        <v>44048</v>
      </c>
      <c r="NFP82">
        <v>7076358</v>
      </c>
      <c r="NFQ82">
        <v>0</v>
      </c>
      <c r="NFR82" t="s">
        <v>254</v>
      </c>
      <c r="NFS82">
        <v>830037946</v>
      </c>
      <c r="NFT82" t="s">
        <v>260</v>
      </c>
      <c r="NFU82">
        <v>131</v>
      </c>
      <c r="NFV82" t="s">
        <v>261</v>
      </c>
      <c r="NFW82">
        <v>54018</v>
      </c>
      <c r="NFX82">
        <v>0</v>
      </c>
      <c r="NFY82">
        <v>7076358</v>
      </c>
      <c r="NFZ82" t="s">
        <v>262</v>
      </c>
      <c r="NGA82" t="s">
        <v>196</v>
      </c>
      <c r="NGB82">
        <v>53248</v>
      </c>
      <c r="NGC82" t="s">
        <v>260</v>
      </c>
      <c r="NGD82">
        <v>44048</v>
      </c>
      <c r="NGE82">
        <v>44048</v>
      </c>
      <c r="NGF82">
        <v>7076358</v>
      </c>
      <c r="NGG82">
        <v>0</v>
      </c>
      <c r="NGH82" t="s">
        <v>254</v>
      </c>
      <c r="NGI82">
        <v>830037946</v>
      </c>
      <c r="NGJ82" t="s">
        <v>260</v>
      </c>
      <c r="NGK82">
        <v>131</v>
      </c>
      <c r="NGL82" t="s">
        <v>261</v>
      </c>
      <c r="NGM82">
        <v>54018</v>
      </c>
      <c r="NGN82">
        <v>0</v>
      </c>
      <c r="NGO82">
        <v>7076358</v>
      </c>
      <c r="NGP82" t="s">
        <v>262</v>
      </c>
      <c r="NGQ82" t="s">
        <v>196</v>
      </c>
      <c r="NGR82">
        <v>53248</v>
      </c>
      <c r="NGS82" t="s">
        <v>260</v>
      </c>
      <c r="NGT82">
        <v>44048</v>
      </c>
      <c r="NGU82">
        <v>44048</v>
      </c>
      <c r="NGV82">
        <v>7076358</v>
      </c>
      <c r="NGW82">
        <v>0</v>
      </c>
      <c r="NGX82" t="s">
        <v>254</v>
      </c>
      <c r="NGY82">
        <v>830037946</v>
      </c>
      <c r="NGZ82" t="s">
        <v>260</v>
      </c>
      <c r="NHA82">
        <v>131</v>
      </c>
      <c r="NHB82" t="s">
        <v>261</v>
      </c>
      <c r="NHC82">
        <v>54018</v>
      </c>
      <c r="NHD82">
        <v>0</v>
      </c>
      <c r="NHE82">
        <v>7076358</v>
      </c>
      <c r="NHF82" t="s">
        <v>262</v>
      </c>
      <c r="NHG82" t="s">
        <v>196</v>
      </c>
      <c r="NHH82">
        <v>53248</v>
      </c>
      <c r="NHI82" t="s">
        <v>260</v>
      </c>
      <c r="NHJ82">
        <v>44048</v>
      </c>
      <c r="NHK82">
        <v>44048</v>
      </c>
      <c r="NHL82">
        <v>7076358</v>
      </c>
      <c r="NHM82">
        <v>0</v>
      </c>
      <c r="NHN82" t="s">
        <v>254</v>
      </c>
      <c r="NHO82">
        <v>830037946</v>
      </c>
      <c r="NHP82" t="s">
        <v>260</v>
      </c>
      <c r="NHQ82">
        <v>131</v>
      </c>
      <c r="NHR82" t="s">
        <v>261</v>
      </c>
      <c r="NHS82">
        <v>54018</v>
      </c>
      <c r="NHT82">
        <v>0</v>
      </c>
      <c r="NHU82">
        <v>7076358</v>
      </c>
      <c r="NHV82" t="s">
        <v>262</v>
      </c>
      <c r="NHW82" t="s">
        <v>196</v>
      </c>
      <c r="NHX82">
        <v>53248</v>
      </c>
      <c r="NHY82" t="s">
        <v>260</v>
      </c>
      <c r="NHZ82">
        <v>44048</v>
      </c>
      <c r="NIA82">
        <v>44048</v>
      </c>
      <c r="NIB82">
        <v>7076358</v>
      </c>
      <c r="NIC82">
        <v>0</v>
      </c>
      <c r="NID82" t="s">
        <v>254</v>
      </c>
      <c r="NIE82">
        <v>830037946</v>
      </c>
      <c r="NIF82" t="s">
        <v>260</v>
      </c>
      <c r="NIG82">
        <v>131</v>
      </c>
      <c r="NIH82" t="s">
        <v>261</v>
      </c>
      <c r="NII82">
        <v>54018</v>
      </c>
      <c r="NIJ82">
        <v>0</v>
      </c>
      <c r="NIK82">
        <v>7076358</v>
      </c>
      <c r="NIL82" t="s">
        <v>262</v>
      </c>
      <c r="NIM82" t="s">
        <v>196</v>
      </c>
      <c r="NIN82">
        <v>53248</v>
      </c>
      <c r="NIO82" t="s">
        <v>260</v>
      </c>
      <c r="NIP82">
        <v>44048</v>
      </c>
      <c r="NIQ82">
        <v>44048</v>
      </c>
      <c r="NIR82">
        <v>7076358</v>
      </c>
      <c r="NIS82">
        <v>0</v>
      </c>
      <c r="NIT82" t="s">
        <v>254</v>
      </c>
      <c r="NIU82">
        <v>830037946</v>
      </c>
      <c r="NIV82" t="s">
        <v>260</v>
      </c>
      <c r="NIW82">
        <v>131</v>
      </c>
      <c r="NIX82" t="s">
        <v>261</v>
      </c>
      <c r="NIY82">
        <v>54018</v>
      </c>
      <c r="NIZ82">
        <v>0</v>
      </c>
      <c r="NJA82">
        <v>7076358</v>
      </c>
      <c r="NJB82" t="s">
        <v>262</v>
      </c>
      <c r="NJC82" t="s">
        <v>196</v>
      </c>
      <c r="NJD82">
        <v>53248</v>
      </c>
      <c r="NJE82" t="s">
        <v>260</v>
      </c>
      <c r="NJF82">
        <v>44048</v>
      </c>
      <c r="NJG82">
        <v>44048</v>
      </c>
      <c r="NJH82">
        <v>7076358</v>
      </c>
      <c r="NJI82">
        <v>0</v>
      </c>
      <c r="NJJ82" t="s">
        <v>254</v>
      </c>
      <c r="NJK82">
        <v>830037946</v>
      </c>
      <c r="NJL82" t="s">
        <v>260</v>
      </c>
      <c r="NJM82">
        <v>131</v>
      </c>
      <c r="NJN82" t="s">
        <v>261</v>
      </c>
      <c r="NJO82">
        <v>54018</v>
      </c>
      <c r="NJP82">
        <v>0</v>
      </c>
      <c r="NJQ82">
        <v>7076358</v>
      </c>
      <c r="NJR82" t="s">
        <v>262</v>
      </c>
      <c r="NJS82" t="s">
        <v>196</v>
      </c>
      <c r="NJT82">
        <v>53248</v>
      </c>
      <c r="NJU82" t="s">
        <v>260</v>
      </c>
      <c r="NJV82">
        <v>44048</v>
      </c>
      <c r="NJW82">
        <v>44048</v>
      </c>
      <c r="NJX82">
        <v>7076358</v>
      </c>
      <c r="NJY82">
        <v>0</v>
      </c>
      <c r="NJZ82" t="s">
        <v>254</v>
      </c>
      <c r="NKA82">
        <v>830037946</v>
      </c>
      <c r="NKB82" t="s">
        <v>260</v>
      </c>
      <c r="NKC82">
        <v>131</v>
      </c>
      <c r="NKD82" t="s">
        <v>261</v>
      </c>
      <c r="NKE82">
        <v>54018</v>
      </c>
      <c r="NKF82">
        <v>0</v>
      </c>
      <c r="NKG82">
        <v>7076358</v>
      </c>
      <c r="NKH82" t="s">
        <v>262</v>
      </c>
      <c r="NKI82" t="s">
        <v>196</v>
      </c>
      <c r="NKJ82">
        <v>53248</v>
      </c>
      <c r="NKK82" t="s">
        <v>260</v>
      </c>
      <c r="NKL82">
        <v>44048</v>
      </c>
      <c r="NKM82">
        <v>44048</v>
      </c>
      <c r="NKN82">
        <v>7076358</v>
      </c>
      <c r="NKO82">
        <v>0</v>
      </c>
      <c r="NKP82" t="s">
        <v>254</v>
      </c>
      <c r="NKQ82">
        <v>830037946</v>
      </c>
      <c r="NKR82" t="s">
        <v>260</v>
      </c>
      <c r="NKS82">
        <v>131</v>
      </c>
      <c r="NKT82" t="s">
        <v>261</v>
      </c>
      <c r="NKU82">
        <v>54018</v>
      </c>
      <c r="NKV82">
        <v>0</v>
      </c>
      <c r="NKW82">
        <v>7076358</v>
      </c>
      <c r="NKX82" t="s">
        <v>262</v>
      </c>
      <c r="NKY82" t="s">
        <v>196</v>
      </c>
      <c r="NKZ82">
        <v>53248</v>
      </c>
      <c r="NLA82" t="s">
        <v>260</v>
      </c>
      <c r="NLB82">
        <v>44048</v>
      </c>
      <c r="NLC82">
        <v>44048</v>
      </c>
      <c r="NLD82">
        <v>7076358</v>
      </c>
      <c r="NLE82">
        <v>0</v>
      </c>
      <c r="NLF82" t="s">
        <v>254</v>
      </c>
      <c r="NLG82">
        <v>830037946</v>
      </c>
      <c r="NLH82" t="s">
        <v>260</v>
      </c>
      <c r="NLI82">
        <v>131</v>
      </c>
      <c r="NLJ82" t="s">
        <v>261</v>
      </c>
      <c r="NLK82">
        <v>54018</v>
      </c>
      <c r="NLL82">
        <v>0</v>
      </c>
      <c r="NLM82">
        <v>7076358</v>
      </c>
      <c r="NLN82" t="s">
        <v>262</v>
      </c>
      <c r="NLO82" t="s">
        <v>196</v>
      </c>
      <c r="NLP82">
        <v>53248</v>
      </c>
      <c r="NLQ82" t="s">
        <v>260</v>
      </c>
      <c r="NLR82">
        <v>44048</v>
      </c>
      <c r="NLS82">
        <v>44048</v>
      </c>
      <c r="NLT82">
        <v>7076358</v>
      </c>
      <c r="NLU82">
        <v>0</v>
      </c>
      <c r="NLV82" t="s">
        <v>254</v>
      </c>
      <c r="NLW82">
        <v>830037946</v>
      </c>
      <c r="NLX82" t="s">
        <v>260</v>
      </c>
      <c r="NLY82">
        <v>131</v>
      </c>
      <c r="NLZ82" t="s">
        <v>261</v>
      </c>
      <c r="NMA82">
        <v>54018</v>
      </c>
      <c r="NMB82">
        <v>0</v>
      </c>
      <c r="NMC82">
        <v>7076358</v>
      </c>
      <c r="NMD82" t="s">
        <v>262</v>
      </c>
      <c r="NME82" t="s">
        <v>196</v>
      </c>
      <c r="NMF82">
        <v>53248</v>
      </c>
      <c r="NMG82" t="s">
        <v>260</v>
      </c>
      <c r="NMH82">
        <v>44048</v>
      </c>
      <c r="NMI82">
        <v>44048</v>
      </c>
      <c r="NMJ82">
        <v>7076358</v>
      </c>
      <c r="NMK82">
        <v>0</v>
      </c>
      <c r="NML82" t="s">
        <v>254</v>
      </c>
      <c r="NMM82">
        <v>830037946</v>
      </c>
      <c r="NMN82" t="s">
        <v>260</v>
      </c>
      <c r="NMO82">
        <v>131</v>
      </c>
      <c r="NMP82" t="s">
        <v>261</v>
      </c>
      <c r="NMQ82">
        <v>54018</v>
      </c>
      <c r="NMR82">
        <v>0</v>
      </c>
      <c r="NMS82">
        <v>7076358</v>
      </c>
      <c r="NMT82" t="s">
        <v>262</v>
      </c>
      <c r="NMU82" t="s">
        <v>196</v>
      </c>
      <c r="NMV82">
        <v>53248</v>
      </c>
      <c r="NMW82" t="s">
        <v>260</v>
      </c>
      <c r="NMX82">
        <v>44048</v>
      </c>
      <c r="NMY82">
        <v>44048</v>
      </c>
      <c r="NMZ82">
        <v>7076358</v>
      </c>
      <c r="NNA82">
        <v>0</v>
      </c>
      <c r="NNB82" t="s">
        <v>254</v>
      </c>
      <c r="NNC82">
        <v>830037946</v>
      </c>
      <c r="NND82" t="s">
        <v>260</v>
      </c>
      <c r="NNE82">
        <v>131</v>
      </c>
      <c r="NNF82" t="s">
        <v>261</v>
      </c>
      <c r="NNG82">
        <v>54018</v>
      </c>
      <c r="NNH82">
        <v>0</v>
      </c>
      <c r="NNI82">
        <v>7076358</v>
      </c>
      <c r="NNJ82" t="s">
        <v>262</v>
      </c>
      <c r="NNK82" t="s">
        <v>196</v>
      </c>
      <c r="NNL82">
        <v>53248</v>
      </c>
      <c r="NNM82" t="s">
        <v>260</v>
      </c>
      <c r="NNN82">
        <v>44048</v>
      </c>
      <c r="NNO82">
        <v>44048</v>
      </c>
      <c r="NNP82">
        <v>7076358</v>
      </c>
      <c r="NNQ82">
        <v>0</v>
      </c>
      <c r="NNR82" t="s">
        <v>254</v>
      </c>
      <c r="NNS82">
        <v>830037946</v>
      </c>
      <c r="NNT82" t="s">
        <v>260</v>
      </c>
      <c r="NNU82">
        <v>131</v>
      </c>
      <c r="NNV82" t="s">
        <v>261</v>
      </c>
      <c r="NNW82">
        <v>54018</v>
      </c>
      <c r="NNX82">
        <v>0</v>
      </c>
      <c r="NNY82">
        <v>7076358</v>
      </c>
      <c r="NNZ82" t="s">
        <v>262</v>
      </c>
      <c r="NOA82" t="s">
        <v>196</v>
      </c>
      <c r="NOB82">
        <v>53248</v>
      </c>
      <c r="NOC82" t="s">
        <v>260</v>
      </c>
      <c r="NOD82">
        <v>44048</v>
      </c>
      <c r="NOE82">
        <v>44048</v>
      </c>
      <c r="NOF82">
        <v>7076358</v>
      </c>
      <c r="NOG82">
        <v>0</v>
      </c>
      <c r="NOH82" t="s">
        <v>254</v>
      </c>
      <c r="NOI82">
        <v>830037946</v>
      </c>
      <c r="NOJ82" t="s">
        <v>260</v>
      </c>
      <c r="NOK82">
        <v>131</v>
      </c>
      <c r="NOL82" t="s">
        <v>261</v>
      </c>
      <c r="NOM82">
        <v>54018</v>
      </c>
      <c r="NON82">
        <v>0</v>
      </c>
      <c r="NOO82">
        <v>7076358</v>
      </c>
      <c r="NOP82" t="s">
        <v>262</v>
      </c>
      <c r="NOQ82" t="s">
        <v>196</v>
      </c>
      <c r="NOR82">
        <v>53248</v>
      </c>
      <c r="NOS82" t="s">
        <v>260</v>
      </c>
      <c r="NOT82">
        <v>44048</v>
      </c>
      <c r="NOU82">
        <v>44048</v>
      </c>
      <c r="NOV82">
        <v>7076358</v>
      </c>
      <c r="NOW82">
        <v>0</v>
      </c>
      <c r="NOX82" t="s">
        <v>254</v>
      </c>
      <c r="NOY82">
        <v>830037946</v>
      </c>
      <c r="NOZ82" t="s">
        <v>260</v>
      </c>
      <c r="NPA82">
        <v>131</v>
      </c>
      <c r="NPB82" t="s">
        <v>261</v>
      </c>
      <c r="NPC82">
        <v>54018</v>
      </c>
      <c r="NPD82">
        <v>0</v>
      </c>
      <c r="NPE82">
        <v>7076358</v>
      </c>
      <c r="NPF82" t="s">
        <v>262</v>
      </c>
      <c r="NPG82" t="s">
        <v>196</v>
      </c>
      <c r="NPH82">
        <v>53248</v>
      </c>
      <c r="NPI82" t="s">
        <v>260</v>
      </c>
      <c r="NPJ82">
        <v>44048</v>
      </c>
      <c r="NPK82">
        <v>44048</v>
      </c>
      <c r="NPL82">
        <v>7076358</v>
      </c>
      <c r="NPM82">
        <v>0</v>
      </c>
      <c r="NPN82" t="s">
        <v>254</v>
      </c>
      <c r="NPO82">
        <v>830037946</v>
      </c>
      <c r="NPP82" t="s">
        <v>260</v>
      </c>
      <c r="NPQ82">
        <v>131</v>
      </c>
      <c r="NPR82" t="s">
        <v>261</v>
      </c>
      <c r="NPS82">
        <v>54018</v>
      </c>
      <c r="NPT82">
        <v>0</v>
      </c>
      <c r="NPU82">
        <v>7076358</v>
      </c>
      <c r="NPV82" t="s">
        <v>262</v>
      </c>
      <c r="NPW82" t="s">
        <v>196</v>
      </c>
      <c r="NPX82">
        <v>53248</v>
      </c>
      <c r="NPY82" t="s">
        <v>260</v>
      </c>
      <c r="NPZ82">
        <v>44048</v>
      </c>
      <c r="NQA82">
        <v>44048</v>
      </c>
      <c r="NQB82">
        <v>7076358</v>
      </c>
      <c r="NQC82">
        <v>0</v>
      </c>
      <c r="NQD82" t="s">
        <v>254</v>
      </c>
      <c r="NQE82">
        <v>830037946</v>
      </c>
      <c r="NQF82" t="s">
        <v>260</v>
      </c>
      <c r="NQG82">
        <v>131</v>
      </c>
      <c r="NQH82" t="s">
        <v>261</v>
      </c>
      <c r="NQI82">
        <v>54018</v>
      </c>
      <c r="NQJ82">
        <v>0</v>
      </c>
      <c r="NQK82">
        <v>7076358</v>
      </c>
      <c r="NQL82" t="s">
        <v>262</v>
      </c>
      <c r="NQM82" t="s">
        <v>196</v>
      </c>
      <c r="NQN82">
        <v>53248</v>
      </c>
      <c r="NQO82" t="s">
        <v>260</v>
      </c>
      <c r="NQP82">
        <v>44048</v>
      </c>
      <c r="NQQ82">
        <v>44048</v>
      </c>
      <c r="NQR82">
        <v>7076358</v>
      </c>
      <c r="NQS82">
        <v>0</v>
      </c>
      <c r="NQT82" t="s">
        <v>254</v>
      </c>
      <c r="NQU82">
        <v>830037946</v>
      </c>
      <c r="NQV82" t="s">
        <v>260</v>
      </c>
      <c r="NQW82">
        <v>131</v>
      </c>
      <c r="NQX82" t="s">
        <v>261</v>
      </c>
      <c r="NQY82">
        <v>54018</v>
      </c>
      <c r="NQZ82">
        <v>0</v>
      </c>
      <c r="NRA82">
        <v>7076358</v>
      </c>
      <c r="NRB82" t="s">
        <v>262</v>
      </c>
      <c r="NRC82" t="s">
        <v>196</v>
      </c>
      <c r="NRD82">
        <v>53248</v>
      </c>
      <c r="NRE82" t="s">
        <v>260</v>
      </c>
      <c r="NRF82">
        <v>44048</v>
      </c>
      <c r="NRG82">
        <v>44048</v>
      </c>
      <c r="NRH82">
        <v>7076358</v>
      </c>
      <c r="NRI82">
        <v>0</v>
      </c>
      <c r="NRJ82" t="s">
        <v>254</v>
      </c>
      <c r="NRK82">
        <v>830037946</v>
      </c>
      <c r="NRL82" t="s">
        <v>260</v>
      </c>
      <c r="NRM82">
        <v>131</v>
      </c>
      <c r="NRN82" t="s">
        <v>261</v>
      </c>
      <c r="NRO82">
        <v>54018</v>
      </c>
      <c r="NRP82">
        <v>0</v>
      </c>
      <c r="NRQ82">
        <v>7076358</v>
      </c>
      <c r="NRR82" t="s">
        <v>262</v>
      </c>
      <c r="NRS82" t="s">
        <v>196</v>
      </c>
      <c r="NRT82">
        <v>53248</v>
      </c>
      <c r="NRU82" t="s">
        <v>260</v>
      </c>
      <c r="NRV82">
        <v>44048</v>
      </c>
      <c r="NRW82">
        <v>44048</v>
      </c>
      <c r="NRX82">
        <v>7076358</v>
      </c>
      <c r="NRY82">
        <v>0</v>
      </c>
      <c r="NRZ82" t="s">
        <v>254</v>
      </c>
      <c r="NSA82">
        <v>830037946</v>
      </c>
      <c r="NSB82" t="s">
        <v>260</v>
      </c>
      <c r="NSC82">
        <v>131</v>
      </c>
      <c r="NSD82" t="s">
        <v>261</v>
      </c>
      <c r="NSE82">
        <v>54018</v>
      </c>
      <c r="NSF82">
        <v>0</v>
      </c>
      <c r="NSG82">
        <v>7076358</v>
      </c>
      <c r="NSH82" t="s">
        <v>262</v>
      </c>
      <c r="NSI82" t="s">
        <v>196</v>
      </c>
      <c r="NSJ82">
        <v>53248</v>
      </c>
      <c r="NSK82" t="s">
        <v>260</v>
      </c>
      <c r="NSL82">
        <v>44048</v>
      </c>
      <c r="NSM82">
        <v>44048</v>
      </c>
      <c r="NSN82">
        <v>7076358</v>
      </c>
      <c r="NSO82">
        <v>0</v>
      </c>
      <c r="NSP82" t="s">
        <v>254</v>
      </c>
      <c r="NSQ82">
        <v>830037946</v>
      </c>
      <c r="NSR82" t="s">
        <v>260</v>
      </c>
      <c r="NSS82">
        <v>131</v>
      </c>
      <c r="NST82" t="s">
        <v>261</v>
      </c>
      <c r="NSU82">
        <v>54018</v>
      </c>
      <c r="NSV82">
        <v>0</v>
      </c>
      <c r="NSW82">
        <v>7076358</v>
      </c>
      <c r="NSX82" t="s">
        <v>262</v>
      </c>
      <c r="NSY82" t="s">
        <v>196</v>
      </c>
      <c r="NSZ82">
        <v>53248</v>
      </c>
      <c r="NTA82" t="s">
        <v>260</v>
      </c>
      <c r="NTB82">
        <v>44048</v>
      </c>
      <c r="NTC82">
        <v>44048</v>
      </c>
      <c r="NTD82">
        <v>7076358</v>
      </c>
      <c r="NTE82">
        <v>0</v>
      </c>
      <c r="NTF82" t="s">
        <v>254</v>
      </c>
      <c r="NTG82">
        <v>830037946</v>
      </c>
      <c r="NTH82" t="s">
        <v>260</v>
      </c>
      <c r="NTI82">
        <v>131</v>
      </c>
      <c r="NTJ82" t="s">
        <v>261</v>
      </c>
      <c r="NTK82">
        <v>54018</v>
      </c>
      <c r="NTL82">
        <v>0</v>
      </c>
      <c r="NTM82">
        <v>7076358</v>
      </c>
      <c r="NTN82" t="s">
        <v>262</v>
      </c>
      <c r="NTO82" t="s">
        <v>196</v>
      </c>
      <c r="NTP82">
        <v>53248</v>
      </c>
      <c r="NTQ82" t="s">
        <v>260</v>
      </c>
      <c r="NTR82">
        <v>44048</v>
      </c>
      <c r="NTS82">
        <v>44048</v>
      </c>
      <c r="NTT82">
        <v>7076358</v>
      </c>
      <c r="NTU82">
        <v>0</v>
      </c>
      <c r="NTV82" t="s">
        <v>254</v>
      </c>
      <c r="NTW82">
        <v>830037946</v>
      </c>
      <c r="NTX82" t="s">
        <v>260</v>
      </c>
      <c r="NTY82">
        <v>131</v>
      </c>
      <c r="NTZ82" t="s">
        <v>261</v>
      </c>
      <c r="NUA82">
        <v>54018</v>
      </c>
      <c r="NUB82">
        <v>0</v>
      </c>
      <c r="NUC82">
        <v>7076358</v>
      </c>
      <c r="NUD82" t="s">
        <v>262</v>
      </c>
      <c r="NUE82" t="s">
        <v>196</v>
      </c>
      <c r="NUF82">
        <v>53248</v>
      </c>
      <c r="NUG82" t="s">
        <v>260</v>
      </c>
      <c r="NUH82">
        <v>44048</v>
      </c>
      <c r="NUI82">
        <v>44048</v>
      </c>
      <c r="NUJ82">
        <v>7076358</v>
      </c>
      <c r="NUK82">
        <v>0</v>
      </c>
      <c r="NUL82" t="s">
        <v>254</v>
      </c>
      <c r="NUM82">
        <v>830037946</v>
      </c>
      <c r="NUN82" t="s">
        <v>260</v>
      </c>
      <c r="NUO82">
        <v>131</v>
      </c>
      <c r="NUP82" t="s">
        <v>261</v>
      </c>
      <c r="NUQ82">
        <v>54018</v>
      </c>
      <c r="NUR82">
        <v>0</v>
      </c>
      <c r="NUS82">
        <v>7076358</v>
      </c>
      <c r="NUT82" t="s">
        <v>262</v>
      </c>
      <c r="NUU82" t="s">
        <v>196</v>
      </c>
      <c r="NUV82">
        <v>53248</v>
      </c>
      <c r="NUW82" t="s">
        <v>260</v>
      </c>
      <c r="NUX82">
        <v>44048</v>
      </c>
      <c r="NUY82">
        <v>44048</v>
      </c>
      <c r="NUZ82">
        <v>7076358</v>
      </c>
      <c r="NVA82">
        <v>0</v>
      </c>
      <c r="NVB82" t="s">
        <v>254</v>
      </c>
      <c r="NVC82">
        <v>830037946</v>
      </c>
      <c r="NVD82" t="s">
        <v>260</v>
      </c>
      <c r="NVE82">
        <v>131</v>
      </c>
      <c r="NVF82" t="s">
        <v>261</v>
      </c>
      <c r="NVG82">
        <v>54018</v>
      </c>
      <c r="NVH82">
        <v>0</v>
      </c>
      <c r="NVI82">
        <v>7076358</v>
      </c>
      <c r="NVJ82" t="s">
        <v>262</v>
      </c>
      <c r="NVK82" t="s">
        <v>196</v>
      </c>
      <c r="NVL82">
        <v>53248</v>
      </c>
      <c r="NVM82" t="s">
        <v>260</v>
      </c>
      <c r="NVN82">
        <v>44048</v>
      </c>
      <c r="NVO82">
        <v>44048</v>
      </c>
      <c r="NVP82">
        <v>7076358</v>
      </c>
      <c r="NVQ82">
        <v>0</v>
      </c>
      <c r="NVR82" t="s">
        <v>254</v>
      </c>
      <c r="NVS82">
        <v>830037946</v>
      </c>
      <c r="NVT82" t="s">
        <v>260</v>
      </c>
      <c r="NVU82">
        <v>131</v>
      </c>
      <c r="NVV82" t="s">
        <v>261</v>
      </c>
      <c r="NVW82">
        <v>54018</v>
      </c>
      <c r="NVX82">
        <v>0</v>
      </c>
      <c r="NVY82">
        <v>7076358</v>
      </c>
      <c r="NVZ82" t="s">
        <v>262</v>
      </c>
      <c r="NWA82" t="s">
        <v>196</v>
      </c>
      <c r="NWB82">
        <v>53248</v>
      </c>
      <c r="NWC82" t="s">
        <v>260</v>
      </c>
      <c r="NWD82">
        <v>44048</v>
      </c>
      <c r="NWE82">
        <v>44048</v>
      </c>
      <c r="NWF82">
        <v>7076358</v>
      </c>
      <c r="NWG82">
        <v>0</v>
      </c>
      <c r="NWH82" t="s">
        <v>254</v>
      </c>
      <c r="NWI82">
        <v>830037946</v>
      </c>
      <c r="NWJ82" t="s">
        <v>260</v>
      </c>
      <c r="NWK82">
        <v>131</v>
      </c>
      <c r="NWL82" t="s">
        <v>261</v>
      </c>
      <c r="NWM82">
        <v>54018</v>
      </c>
      <c r="NWN82">
        <v>0</v>
      </c>
      <c r="NWO82">
        <v>7076358</v>
      </c>
      <c r="NWP82" t="s">
        <v>262</v>
      </c>
      <c r="NWQ82" t="s">
        <v>196</v>
      </c>
      <c r="NWR82">
        <v>53248</v>
      </c>
      <c r="NWS82" t="s">
        <v>260</v>
      </c>
      <c r="NWT82">
        <v>44048</v>
      </c>
      <c r="NWU82">
        <v>44048</v>
      </c>
      <c r="NWV82">
        <v>7076358</v>
      </c>
      <c r="NWW82">
        <v>0</v>
      </c>
      <c r="NWX82" t="s">
        <v>254</v>
      </c>
      <c r="NWY82">
        <v>830037946</v>
      </c>
      <c r="NWZ82" t="s">
        <v>260</v>
      </c>
      <c r="NXA82">
        <v>131</v>
      </c>
      <c r="NXB82" t="s">
        <v>261</v>
      </c>
      <c r="NXC82">
        <v>54018</v>
      </c>
      <c r="NXD82">
        <v>0</v>
      </c>
      <c r="NXE82">
        <v>7076358</v>
      </c>
      <c r="NXF82" t="s">
        <v>262</v>
      </c>
      <c r="NXG82" t="s">
        <v>196</v>
      </c>
      <c r="NXH82">
        <v>53248</v>
      </c>
      <c r="NXI82" t="s">
        <v>260</v>
      </c>
      <c r="NXJ82">
        <v>44048</v>
      </c>
      <c r="NXK82">
        <v>44048</v>
      </c>
      <c r="NXL82">
        <v>7076358</v>
      </c>
      <c r="NXM82">
        <v>0</v>
      </c>
      <c r="NXN82" t="s">
        <v>254</v>
      </c>
      <c r="NXO82">
        <v>830037946</v>
      </c>
      <c r="NXP82" t="s">
        <v>260</v>
      </c>
      <c r="NXQ82">
        <v>131</v>
      </c>
      <c r="NXR82" t="s">
        <v>261</v>
      </c>
      <c r="NXS82">
        <v>54018</v>
      </c>
      <c r="NXT82">
        <v>0</v>
      </c>
      <c r="NXU82">
        <v>7076358</v>
      </c>
      <c r="NXV82" t="s">
        <v>262</v>
      </c>
      <c r="NXW82" t="s">
        <v>196</v>
      </c>
      <c r="NXX82">
        <v>53248</v>
      </c>
      <c r="NXY82" t="s">
        <v>260</v>
      </c>
      <c r="NXZ82">
        <v>44048</v>
      </c>
      <c r="NYA82">
        <v>44048</v>
      </c>
      <c r="NYB82">
        <v>7076358</v>
      </c>
      <c r="NYC82">
        <v>0</v>
      </c>
      <c r="NYD82" t="s">
        <v>254</v>
      </c>
      <c r="NYE82">
        <v>830037946</v>
      </c>
      <c r="NYF82" t="s">
        <v>260</v>
      </c>
      <c r="NYG82">
        <v>131</v>
      </c>
      <c r="NYH82" t="s">
        <v>261</v>
      </c>
      <c r="NYI82">
        <v>54018</v>
      </c>
      <c r="NYJ82">
        <v>0</v>
      </c>
      <c r="NYK82">
        <v>7076358</v>
      </c>
      <c r="NYL82" t="s">
        <v>262</v>
      </c>
      <c r="NYM82" t="s">
        <v>196</v>
      </c>
      <c r="NYN82">
        <v>53248</v>
      </c>
      <c r="NYO82" t="s">
        <v>260</v>
      </c>
      <c r="NYP82">
        <v>44048</v>
      </c>
      <c r="NYQ82">
        <v>44048</v>
      </c>
      <c r="NYR82">
        <v>7076358</v>
      </c>
      <c r="NYS82">
        <v>0</v>
      </c>
      <c r="NYT82" t="s">
        <v>254</v>
      </c>
      <c r="NYU82">
        <v>830037946</v>
      </c>
      <c r="NYV82" t="s">
        <v>260</v>
      </c>
      <c r="NYW82">
        <v>131</v>
      </c>
      <c r="NYX82" t="s">
        <v>261</v>
      </c>
      <c r="NYY82">
        <v>54018</v>
      </c>
      <c r="NYZ82">
        <v>0</v>
      </c>
      <c r="NZA82">
        <v>7076358</v>
      </c>
      <c r="NZB82" t="s">
        <v>262</v>
      </c>
      <c r="NZC82" t="s">
        <v>196</v>
      </c>
      <c r="NZD82">
        <v>53248</v>
      </c>
      <c r="NZE82" t="s">
        <v>260</v>
      </c>
      <c r="NZF82">
        <v>44048</v>
      </c>
      <c r="NZG82">
        <v>44048</v>
      </c>
      <c r="NZH82">
        <v>7076358</v>
      </c>
      <c r="NZI82">
        <v>0</v>
      </c>
      <c r="NZJ82" t="s">
        <v>254</v>
      </c>
      <c r="NZK82">
        <v>830037946</v>
      </c>
      <c r="NZL82" t="s">
        <v>260</v>
      </c>
      <c r="NZM82">
        <v>131</v>
      </c>
      <c r="NZN82" t="s">
        <v>261</v>
      </c>
      <c r="NZO82">
        <v>54018</v>
      </c>
      <c r="NZP82">
        <v>0</v>
      </c>
      <c r="NZQ82">
        <v>7076358</v>
      </c>
      <c r="NZR82" t="s">
        <v>262</v>
      </c>
      <c r="NZS82" t="s">
        <v>196</v>
      </c>
      <c r="NZT82">
        <v>53248</v>
      </c>
      <c r="NZU82" t="s">
        <v>260</v>
      </c>
      <c r="NZV82">
        <v>44048</v>
      </c>
      <c r="NZW82">
        <v>44048</v>
      </c>
      <c r="NZX82">
        <v>7076358</v>
      </c>
      <c r="NZY82">
        <v>0</v>
      </c>
      <c r="NZZ82" t="s">
        <v>254</v>
      </c>
      <c r="OAA82">
        <v>830037946</v>
      </c>
      <c r="OAB82" t="s">
        <v>260</v>
      </c>
      <c r="OAC82">
        <v>131</v>
      </c>
      <c r="OAD82" t="s">
        <v>261</v>
      </c>
      <c r="OAE82">
        <v>54018</v>
      </c>
      <c r="OAF82">
        <v>0</v>
      </c>
      <c r="OAG82">
        <v>7076358</v>
      </c>
      <c r="OAH82" t="s">
        <v>262</v>
      </c>
      <c r="OAI82" t="s">
        <v>196</v>
      </c>
      <c r="OAJ82">
        <v>53248</v>
      </c>
      <c r="OAK82" t="s">
        <v>260</v>
      </c>
      <c r="OAL82">
        <v>44048</v>
      </c>
      <c r="OAM82">
        <v>44048</v>
      </c>
      <c r="OAN82">
        <v>7076358</v>
      </c>
      <c r="OAO82">
        <v>0</v>
      </c>
      <c r="OAP82" t="s">
        <v>254</v>
      </c>
      <c r="OAQ82">
        <v>830037946</v>
      </c>
      <c r="OAR82" t="s">
        <v>260</v>
      </c>
      <c r="OAS82">
        <v>131</v>
      </c>
      <c r="OAT82" t="s">
        <v>261</v>
      </c>
      <c r="OAU82">
        <v>54018</v>
      </c>
      <c r="OAV82">
        <v>0</v>
      </c>
      <c r="OAW82">
        <v>7076358</v>
      </c>
      <c r="OAX82" t="s">
        <v>262</v>
      </c>
      <c r="OAY82" t="s">
        <v>196</v>
      </c>
      <c r="OAZ82">
        <v>53248</v>
      </c>
      <c r="OBA82" t="s">
        <v>260</v>
      </c>
      <c r="OBB82">
        <v>44048</v>
      </c>
      <c r="OBC82">
        <v>44048</v>
      </c>
      <c r="OBD82">
        <v>7076358</v>
      </c>
      <c r="OBE82">
        <v>0</v>
      </c>
      <c r="OBF82" t="s">
        <v>254</v>
      </c>
      <c r="OBG82">
        <v>830037946</v>
      </c>
      <c r="OBH82" t="s">
        <v>260</v>
      </c>
      <c r="OBI82">
        <v>131</v>
      </c>
      <c r="OBJ82" t="s">
        <v>261</v>
      </c>
      <c r="OBK82">
        <v>54018</v>
      </c>
      <c r="OBL82">
        <v>0</v>
      </c>
      <c r="OBM82">
        <v>7076358</v>
      </c>
      <c r="OBN82" t="s">
        <v>262</v>
      </c>
      <c r="OBO82" t="s">
        <v>196</v>
      </c>
      <c r="OBP82">
        <v>53248</v>
      </c>
      <c r="OBQ82" t="s">
        <v>260</v>
      </c>
      <c r="OBR82">
        <v>44048</v>
      </c>
      <c r="OBS82">
        <v>44048</v>
      </c>
      <c r="OBT82">
        <v>7076358</v>
      </c>
      <c r="OBU82">
        <v>0</v>
      </c>
      <c r="OBV82" t="s">
        <v>254</v>
      </c>
      <c r="OBW82">
        <v>830037946</v>
      </c>
      <c r="OBX82" t="s">
        <v>260</v>
      </c>
      <c r="OBY82">
        <v>131</v>
      </c>
      <c r="OBZ82" t="s">
        <v>261</v>
      </c>
      <c r="OCA82">
        <v>54018</v>
      </c>
      <c r="OCB82">
        <v>0</v>
      </c>
      <c r="OCC82">
        <v>7076358</v>
      </c>
      <c r="OCD82" t="s">
        <v>262</v>
      </c>
      <c r="OCE82" t="s">
        <v>196</v>
      </c>
      <c r="OCF82">
        <v>53248</v>
      </c>
      <c r="OCG82" t="s">
        <v>260</v>
      </c>
      <c r="OCH82">
        <v>44048</v>
      </c>
      <c r="OCI82">
        <v>44048</v>
      </c>
      <c r="OCJ82">
        <v>7076358</v>
      </c>
      <c r="OCK82">
        <v>0</v>
      </c>
      <c r="OCL82" t="s">
        <v>254</v>
      </c>
      <c r="OCM82">
        <v>830037946</v>
      </c>
      <c r="OCN82" t="s">
        <v>260</v>
      </c>
      <c r="OCO82">
        <v>131</v>
      </c>
      <c r="OCP82" t="s">
        <v>261</v>
      </c>
      <c r="OCQ82">
        <v>54018</v>
      </c>
      <c r="OCR82">
        <v>0</v>
      </c>
      <c r="OCS82">
        <v>7076358</v>
      </c>
      <c r="OCT82" t="s">
        <v>262</v>
      </c>
      <c r="OCU82" t="s">
        <v>196</v>
      </c>
      <c r="OCV82">
        <v>53248</v>
      </c>
      <c r="OCW82" t="s">
        <v>260</v>
      </c>
      <c r="OCX82">
        <v>44048</v>
      </c>
      <c r="OCY82">
        <v>44048</v>
      </c>
      <c r="OCZ82">
        <v>7076358</v>
      </c>
      <c r="ODA82">
        <v>0</v>
      </c>
      <c r="ODB82" t="s">
        <v>254</v>
      </c>
      <c r="ODC82">
        <v>830037946</v>
      </c>
      <c r="ODD82" t="s">
        <v>260</v>
      </c>
      <c r="ODE82">
        <v>131</v>
      </c>
      <c r="ODF82" t="s">
        <v>261</v>
      </c>
      <c r="ODG82">
        <v>54018</v>
      </c>
      <c r="ODH82">
        <v>0</v>
      </c>
      <c r="ODI82">
        <v>7076358</v>
      </c>
      <c r="ODJ82" t="s">
        <v>262</v>
      </c>
      <c r="ODK82" t="s">
        <v>196</v>
      </c>
      <c r="ODL82">
        <v>53248</v>
      </c>
      <c r="ODM82" t="s">
        <v>260</v>
      </c>
      <c r="ODN82">
        <v>44048</v>
      </c>
      <c r="ODO82">
        <v>44048</v>
      </c>
      <c r="ODP82">
        <v>7076358</v>
      </c>
      <c r="ODQ82">
        <v>0</v>
      </c>
      <c r="ODR82" t="s">
        <v>254</v>
      </c>
      <c r="ODS82">
        <v>830037946</v>
      </c>
      <c r="ODT82" t="s">
        <v>260</v>
      </c>
      <c r="ODU82">
        <v>131</v>
      </c>
      <c r="ODV82" t="s">
        <v>261</v>
      </c>
      <c r="ODW82">
        <v>54018</v>
      </c>
      <c r="ODX82">
        <v>0</v>
      </c>
      <c r="ODY82">
        <v>7076358</v>
      </c>
      <c r="ODZ82" t="s">
        <v>262</v>
      </c>
      <c r="OEA82" t="s">
        <v>196</v>
      </c>
      <c r="OEB82">
        <v>53248</v>
      </c>
      <c r="OEC82" t="s">
        <v>260</v>
      </c>
      <c r="OED82">
        <v>44048</v>
      </c>
      <c r="OEE82">
        <v>44048</v>
      </c>
      <c r="OEF82">
        <v>7076358</v>
      </c>
      <c r="OEG82">
        <v>0</v>
      </c>
      <c r="OEH82" t="s">
        <v>254</v>
      </c>
      <c r="OEI82">
        <v>830037946</v>
      </c>
      <c r="OEJ82" t="s">
        <v>260</v>
      </c>
      <c r="OEK82">
        <v>131</v>
      </c>
      <c r="OEL82" t="s">
        <v>261</v>
      </c>
      <c r="OEM82">
        <v>54018</v>
      </c>
      <c r="OEN82">
        <v>0</v>
      </c>
      <c r="OEO82">
        <v>7076358</v>
      </c>
      <c r="OEP82" t="s">
        <v>262</v>
      </c>
      <c r="OEQ82" t="s">
        <v>196</v>
      </c>
      <c r="OER82">
        <v>53248</v>
      </c>
      <c r="OES82" t="s">
        <v>260</v>
      </c>
      <c r="OET82">
        <v>44048</v>
      </c>
      <c r="OEU82">
        <v>44048</v>
      </c>
      <c r="OEV82">
        <v>7076358</v>
      </c>
      <c r="OEW82">
        <v>0</v>
      </c>
      <c r="OEX82" t="s">
        <v>254</v>
      </c>
      <c r="OEY82">
        <v>830037946</v>
      </c>
      <c r="OEZ82" t="s">
        <v>260</v>
      </c>
      <c r="OFA82">
        <v>131</v>
      </c>
      <c r="OFB82" t="s">
        <v>261</v>
      </c>
      <c r="OFC82">
        <v>54018</v>
      </c>
      <c r="OFD82">
        <v>0</v>
      </c>
      <c r="OFE82">
        <v>7076358</v>
      </c>
      <c r="OFF82" t="s">
        <v>262</v>
      </c>
      <c r="OFG82" t="s">
        <v>196</v>
      </c>
      <c r="OFH82">
        <v>53248</v>
      </c>
      <c r="OFI82" t="s">
        <v>260</v>
      </c>
      <c r="OFJ82">
        <v>44048</v>
      </c>
      <c r="OFK82">
        <v>44048</v>
      </c>
      <c r="OFL82">
        <v>7076358</v>
      </c>
      <c r="OFM82">
        <v>0</v>
      </c>
      <c r="OFN82" t="s">
        <v>254</v>
      </c>
      <c r="OFO82">
        <v>830037946</v>
      </c>
      <c r="OFP82" t="s">
        <v>260</v>
      </c>
      <c r="OFQ82">
        <v>131</v>
      </c>
      <c r="OFR82" t="s">
        <v>261</v>
      </c>
      <c r="OFS82">
        <v>54018</v>
      </c>
      <c r="OFT82">
        <v>0</v>
      </c>
      <c r="OFU82">
        <v>7076358</v>
      </c>
      <c r="OFV82" t="s">
        <v>262</v>
      </c>
      <c r="OFW82" t="s">
        <v>196</v>
      </c>
      <c r="OFX82">
        <v>53248</v>
      </c>
      <c r="OFY82" t="s">
        <v>260</v>
      </c>
      <c r="OFZ82">
        <v>44048</v>
      </c>
      <c r="OGA82">
        <v>44048</v>
      </c>
      <c r="OGB82">
        <v>7076358</v>
      </c>
      <c r="OGC82">
        <v>0</v>
      </c>
      <c r="OGD82" t="s">
        <v>254</v>
      </c>
      <c r="OGE82">
        <v>830037946</v>
      </c>
      <c r="OGF82" t="s">
        <v>260</v>
      </c>
      <c r="OGG82">
        <v>131</v>
      </c>
      <c r="OGH82" t="s">
        <v>261</v>
      </c>
      <c r="OGI82">
        <v>54018</v>
      </c>
      <c r="OGJ82">
        <v>0</v>
      </c>
      <c r="OGK82">
        <v>7076358</v>
      </c>
      <c r="OGL82" t="s">
        <v>262</v>
      </c>
      <c r="OGM82" t="s">
        <v>196</v>
      </c>
      <c r="OGN82">
        <v>53248</v>
      </c>
      <c r="OGO82" t="s">
        <v>260</v>
      </c>
      <c r="OGP82">
        <v>44048</v>
      </c>
      <c r="OGQ82">
        <v>44048</v>
      </c>
      <c r="OGR82">
        <v>7076358</v>
      </c>
      <c r="OGS82">
        <v>0</v>
      </c>
      <c r="OGT82" t="s">
        <v>254</v>
      </c>
      <c r="OGU82">
        <v>830037946</v>
      </c>
      <c r="OGV82" t="s">
        <v>260</v>
      </c>
      <c r="OGW82">
        <v>131</v>
      </c>
      <c r="OGX82" t="s">
        <v>261</v>
      </c>
      <c r="OGY82">
        <v>54018</v>
      </c>
      <c r="OGZ82">
        <v>0</v>
      </c>
      <c r="OHA82">
        <v>7076358</v>
      </c>
      <c r="OHB82" t="s">
        <v>262</v>
      </c>
      <c r="OHC82" t="s">
        <v>196</v>
      </c>
      <c r="OHD82">
        <v>53248</v>
      </c>
      <c r="OHE82" t="s">
        <v>260</v>
      </c>
      <c r="OHF82">
        <v>44048</v>
      </c>
      <c r="OHG82">
        <v>44048</v>
      </c>
      <c r="OHH82">
        <v>7076358</v>
      </c>
      <c r="OHI82">
        <v>0</v>
      </c>
      <c r="OHJ82" t="s">
        <v>254</v>
      </c>
      <c r="OHK82">
        <v>830037946</v>
      </c>
      <c r="OHL82" t="s">
        <v>260</v>
      </c>
      <c r="OHM82">
        <v>131</v>
      </c>
      <c r="OHN82" t="s">
        <v>261</v>
      </c>
      <c r="OHO82">
        <v>54018</v>
      </c>
      <c r="OHP82">
        <v>0</v>
      </c>
      <c r="OHQ82">
        <v>7076358</v>
      </c>
      <c r="OHR82" t="s">
        <v>262</v>
      </c>
      <c r="OHS82" t="s">
        <v>196</v>
      </c>
      <c r="OHT82">
        <v>53248</v>
      </c>
      <c r="OHU82" t="s">
        <v>260</v>
      </c>
      <c r="OHV82">
        <v>44048</v>
      </c>
      <c r="OHW82">
        <v>44048</v>
      </c>
      <c r="OHX82">
        <v>7076358</v>
      </c>
      <c r="OHY82">
        <v>0</v>
      </c>
      <c r="OHZ82" t="s">
        <v>254</v>
      </c>
      <c r="OIA82">
        <v>830037946</v>
      </c>
      <c r="OIB82" t="s">
        <v>260</v>
      </c>
      <c r="OIC82">
        <v>131</v>
      </c>
      <c r="OID82" t="s">
        <v>261</v>
      </c>
      <c r="OIE82">
        <v>54018</v>
      </c>
      <c r="OIF82">
        <v>0</v>
      </c>
      <c r="OIG82">
        <v>7076358</v>
      </c>
      <c r="OIH82" t="s">
        <v>262</v>
      </c>
      <c r="OII82" t="s">
        <v>196</v>
      </c>
      <c r="OIJ82">
        <v>53248</v>
      </c>
      <c r="OIK82" t="s">
        <v>260</v>
      </c>
      <c r="OIL82">
        <v>44048</v>
      </c>
      <c r="OIM82">
        <v>44048</v>
      </c>
      <c r="OIN82">
        <v>7076358</v>
      </c>
      <c r="OIO82">
        <v>0</v>
      </c>
      <c r="OIP82" t="s">
        <v>254</v>
      </c>
      <c r="OIQ82">
        <v>830037946</v>
      </c>
      <c r="OIR82" t="s">
        <v>260</v>
      </c>
      <c r="OIS82">
        <v>131</v>
      </c>
      <c r="OIT82" t="s">
        <v>261</v>
      </c>
      <c r="OIU82">
        <v>54018</v>
      </c>
      <c r="OIV82">
        <v>0</v>
      </c>
      <c r="OIW82">
        <v>7076358</v>
      </c>
      <c r="OIX82" t="s">
        <v>262</v>
      </c>
      <c r="OIY82" t="s">
        <v>196</v>
      </c>
      <c r="OIZ82">
        <v>53248</v>
      </c>
      <c r="OJA82" t="s">
        <v>260</v>
      </c>
      <c r="OJB82">
        <v>44048</v>
      </c>
      <c r="OJC82">
        <v>44048</v>
      </c>
      <c r="OJD82">
        <v>7076358</v>
      </c>
      <c r="OJE82">
        <v>0</v>
      </c>
      <c r="OJF82" t="s">
        <v>254</v>
      </c>
      <c r="OJG82">
        <v>830037946</v>
      </c>
      <c r="OJH82" t="s">
        <v>260</v>
      </c>
      <c r="OJI82">
        <v>131</v>
      </c>
      <c r="OJJ82" t="s">
        <v>261</v>
      </c>
      <c r="OJK82">
        <v>54018</v>
      </c>
      <c r="OJL82">
        <v>0</v>
      </c>
      <c r="OJM82">
        <v>7076358</v>
      </c>
      <c r="OJN82" t="s">
        <v>262</v>
      </c>
      <c r="OJO82" t="s">
        <v>196</v>
      </c>
      <c r="OJP82">
        <v>53248</v>
      </c>
      <c r="OJQ82" t="s">
        <v>260</v>
      </c>
      <c r="OJR82">
        <v>44048</v>
      </c>
      <c r="OJS82">
        <v>44048</v>
      </c>
      <c r="OJT82">
        <v>7076358</v>
      </c>
      <c r="OJU82">
        <v>0</v>
      </c>
      <c r="OJV82" t="s">
        <v>254</v>
      </c>
      <c r="OJW82">
        <v>830037946</v>
      </c>
      <c r="OJX82" t="s">
        <v>260</v>
      </c>
      <c r="OJY82">
        <v>131</v>
      </c>
      <c r="OJZ82" t="s">
        <v>261</v>
      </c>
      <c r="OKA82">
        <v>54018</v>
      </c>
      <c r="OKB82">
        <v>0</v>
      </c>
      <c r="OKC82">
        <v>7076358</v>
      </c>
      <c r="OKD82" t="s">
        <v>262</v>
      </c>
      <c r="OKE82" t="s">
        <v>196</v>
      </c>
      <c r="OKF82">
        <v>53248</v>
      </c>
      <c r="OKG82" t="s">
        <v>260</v>
      </c>
      <c r="OKH82">
        <v>44048</v>
      </c>
      <c r="OKI82">
        <v>44048</v>
      </c>
      <c r="OKJ82">
        <v>7076358</v>
      </c>
      <c r="OKK82">
        <v>0</v>
      </c>
      <c r="OKL82" t="s">
        <v>254</v>
      </c>
      <c r="OKM82">
        <v>830037946</v>
      </c>
      <c r="OKN82" t="s">
        <v>260</v>
      </c>
      <c r="OKO82">
        <v>131</v>
      </c>
      <c r="OKP82" t="s">
        <v>261</v>
      </c>
      <c r="OKQ82">
        <v>54018</v>
      </c>
      <c r="OKR82">
        <v>0</v>
      </c>
      <c r="OKS82">
        <v>7076358</v>
      </c>
      <c r="OKT82" t="s">
        <v>262</v>
      </c>
      <c r="OKU82" t="s">
        <v>196</v>
      </c>
      <c r="OKV82">
        <v>53248</v>
      </c>
      <c r="OKW82" t="s">
        <v>260</v>
      </c>
      <c r="OKX82">
        <v>44048</v>
      </c>
      <c r="OKY82">
        <v>44048</v>
      </c>
      <c r="OKZ82">
        <v>7076358</v>
      </c>
      <c r="OLA82">
        <v>0</v>
      </c>
      <c r="OLB82" t="s">
        <v>254</v>
      </c>
      <c r="OLC82">
        <v>830037946</v>
      </c>
      <c r="OLD82" t="s">
        <v>260</v>
      </c>
      <c r="OLE82">
        <v>131</v>
      </c>
      <c r="OLF82" t="s">
        <v>261</v>
      </c>
      <c r="OLG82">
        <v>54018</v>
      </c>
      <c r="OLH82">
        <v>0</v>
      </c>
      <c r="OLI82">
        <v>7076358</v>
      </c>
      <c r="OLJ82" t="s">
        <v>262</v>
      </c>
      <c r="OLK82" t="s">
        <v>196</v>
      </c>
      <c r="OLL82">
        <v>53248</v>
      </c>
      <c r="OLM82" t="s">
        <v>260</v>
      </c>
      <c r="OLN82">
        <v>44048</v>
      </c>
      <c r="OLO82">
        <v>44048</v>
      </c>
      <c r="OLP82">
        <v>7076358</v>
      </c>
      <c r="OLQ82">
        <v>0</v>
      </c>
      <c r="OLR82" t="s">
        <v>254</v>
      </c>
      <c r="OLS82">
        <v>830037946</v>
      </c>
      <c r="OLT82" t="s">
        <v>260</v>
      </c>
      <c r="OLU82">
        <v>131</v>
      </c>
      <c r="OLV82" t="s">
        <v>261</v>
      </c>
      <c r="OLW82">
        <v>54018</v>
      </c>
      <c r="OLX82">
        <v>0</v>
      </c>
      <c r="OLY82">
        <v>7076358</v>
      </c>
      <c r="OLZ82" t="s">
        <v>262</v>
      </c>
      <c r="OMA82" t="s">
        <v>196</v>
      </c>
      <c r="OMB82">
        <v>53248</v>
      </c>
      <c r="OMC82" t="s">
        <v>260</v>
      </c>
      <c r="OMD82">
        <v>44048</v>
      </c>
      <c r="OME82">
        <v>44048</v>
      </c>
      <c r="OMF82">
        <v>7076358</v>
      </c>
      <c r="OMG82">
        <v>0</v>
      </c>
      <c r="OMH82" t="s">
        <v>254</v>
      </c>
      <c r="OMI82">
        <v>830037946</v>
      </c>
      <c r="OMJ82" t="s">
        <v>260</v>
      </c>
      <c r="OMK82">
        <v>131</v>
      </c>
      <c r="OML82" t="s">
        <v>261</v>
      </c>
      <c r="OMM82">
        <v>54018</v>
      </c>
      <c r="OMN82">
        <v>0</v>
      </c>
      <c r="OMO82">
        <v>7076358</v>
      </c>
      <c r="OMP82" t="s">
        <v>262</v>
      </c>
      <c r="OMQ82" t="s">
        <v>196</v>
      </c>
      <c r="OMR82">
        <v>53248</v>
      </c>
      <c r="OMS82" t="s">
        <v>260</v>
      </c>
      <c r="OMT82">
        <v>44048</v>
      </c>
      <c r="OMU82">
        <v>44048</v>
      </c>
      <c r="OMV82">
        <v>7076358</v>
      </c>
      <c r="OMW82">
        <v>0</v>
      </c>
      <c r="OMX82" t="s">
        <v>254</v>
      </c>
      <c r="OMY82">
        <v>830037946</v>
      </c>
      <c r="OMZ82" t="s">
        <v>260</v>
      </c>
      <c r="ONA82">
        <v>131</v>
      </c>
      <c r="ONB82" t="s">
        <v>261</v>
      </c>
      <c r="ONC82">
        <v>54018</v>
      </c>
      <c r="OND82">
        <v>0</v>
      </c>
      <c r="ONE82">
        <v>7076358</v>
      </c>
      <c r="ONF82" t="s">
        <v>262</v>
      </c>
      <c r="ONG82" t="s">
        <v>196</v>
      </c>
      <c r="ONH82">
        <v>53248</v>
      </c>
      <c r="ONI82" t="s">
        <v>260</v>
      </c>
      <c r="ONJ82">
        <v>44048</v>
      </c>
      <c r="ONK82">
        <v>44048</v>
      </c>
      <c r="ONL82">
        <v>7076358</v>
      </c>
      <c r="ONM82">
        <v>0</v>
      </c>
      <c r="ONN82" t="s">
        <v>254</v>
      </c>
      <c r="ONO82">
        <v>830037946</v>
      </c>
      <c r="ONP82" t="s">
        <v>260</v>
      </c>
      <c r="ONQ82">
        <v>131</v>
      </c>
      <c r="ONR82" t="s">
        <v>261</v>
      </c>
      <c r="ONS82">
        <v>54018</v>
      </c>
      <c r="ONT82">
        <v>0</v>
      </c>
      <c r="ONU82">
        <v>7076358</v>
      </c>
      <c r="ONV82" t="s">
        <v>262</v>
      </c>
      <c r="ONW82" t="s">
        <v>196</v>
      </c>
      <c r="ONX82">
        <v>53248</v>
      </c>
      <c r="ONY82" t="s">
        <v>260</v>
      </c>
      <c r="ONZ82">
        <v>44048</v>
      </c>
      <c r="OOA82">
        <v>44048</v>
      </c>
      <c r="OOB82">
        <v>7076358</v>
      </c>
      <c r="OOC82">
        <v>0</v>
      </c>
      <c r="OOD82" t="s">
        <v>254</v>
      </c>
      <c r="OOE82">
        <v>830037946</v>
      </c>
      <c r="OOF82" t="s">
        <v>260</v>
      </c>
      <c r="OOG82">
        <v>131</v>
      </c>
      <c r="OOH82" t="s">
        <v>261</v>
      </c>
      <c r="OOI82">
        <v>54018</v>
      </c>
      <c r="OOJ82">
        <v>0</v>
      </c>
      <c r="OOK82">
        <v>7076358</v>
      </c>
      <c r="OOL82" t="s">
        <v>262</v>
      </c>
      <c r="OOM82" t="s">
        <v>196</v>
      </c>
      <c r="OON82">
        <v>53248</v>
      </c>
      <c r="OOO82" t="s">
        <v>260</v>
      </c>
      <c r="OOP82">
        <v>44048</v>
      </c>
      <c r="OOQ82">
        <v>44048</v>
      </c>
      <c r="OOR82">
        <v>7076358</v>
      </c>
      <c r="OOS82">
        <v>0</v>
      </c>
      <c r="OOT82" t="s">
        <v>254</v>
      </c>
      <c r="OOU82">
        <v>830037946</v>
      </c>
      <c r="OOV82" t="s">
        <v>260</v>
      </c>
      <c r="OOW82">
        <v>131</v>
      </c>
      <c r="OOX82" t="s">
        <v>261</v>
      </c>
      <c r="OOY82">
        <v>54018</v>
      </c>
      <c r="OOZ82">
        <v>0</v>
      </c>
      <c r="OPA82">
        <v>7076358</v>
      </c>
      <c r="OPB82" t="s">
        <v>262</v>
      </c>
      <c r="OPC82" t="s">
        <v>196</v>
      </c>
      <c r="OPD82">
        <v>53248</v>
      </c>
      <c r="OPE82" t="s">
        <v>260</v>
      </c>
      <c r="OPF82">
        <v>44048</v>
      </c>
      <c r="OPG82">
        <v>44048</v>
      </c>
      <c r="OPH82">
        <v>7076358</v>
      </c>
      <c r="OPI82">
        <v>0</v>
      </c>
      <c r="OPJ82" t="s">
        <v>254</v>
      </c>
      <c r="OPK82">
        <v>830037946</v>
      </c>
      <c r="OPL82" t="s">
        <v>260</v>
      </c>
      <c r="OPM82">
        <v>131</v>
      </c>
      <c r="OPN82" t="s">
        <v>261</v>
      </c>
      <c r="OPO82">
        <v>54018</v>
      </c>
      <c r="OPP82">
        <v>0</v>
      </c>
      <c r="OPQ82">
        <v>7076358</v>
      </c>
      <c r="OPR82" t="s">
        <v>262</v>
      </c>
      <c r="OPS82" t="s">
        <v>196</v>
      </c>
      <c r="OPT82">
        <v>53248</v>
      </c>
      <c r="OPU82" t="s">
        <v>260</v>
      </c>
      <c r="OPV82">
        <v>44048</v>
      </c>
      <c r="OPW82">
        <v>44048</v>
      </c>
      <c r="OPX82">
        <v>7076358</v>
      </c>
      <c r="OPY82">
        <v>0</v>
      </c>
      <c r="OPZ82" t="s">
        <v>254</v>
      </c>
      <c r="OQA82">
        <v>830037946</v>
      </c>
      <c r="OQB82" t="s">
        <v>260</v>
      </c>
      <c r="OQC82">
        <v>131</v>
      </c>
      <c r="OQD82" t="s">
        <v>261</v>
      </c>
      <c r="OQE82">
        <v>54018</v>
      </c>
      <c r="OQF82">
        <v>0</v>
      </c>
      <c r="OQG82">
        <v>7076358</v>
      </c>
      <c r="OQH82" t="s">
        <v>262</v>
      </c>
      <c r="OQI82" t="s">
        <v>196</v>
      </c>
      <c r="OQJ82">
        <v>53248</v>
      </c>
      <c r="OQK82" t="s">
        <v>260</v>
      </c>
      <c r="OQL82">
        <v>44048</v>
      </c>
      <c r="OQM82">
        <v>44048</v>
      </c>
      <c r="OQN82">
        <v>7076358</v>
      </c>
      <c r="OQO82">
        <v>0</v>
      </c>
      <c r="OQP82" t="s">
        <v>254</v>
      </c>
      <c r="OQQ82">
        <v>830037946</v>
      </c>
      <c r="OQR82" t="s">
        <v>260</v>
      </c>
      <c r="OQS82">
        <v>131</v>
      </c>
      <c r="OQT82" t="s">
        <v>261</v>
      </c>
      <c r="OQU82">
        <v>54018</v>
      </c>
      <c r="OQV82">
        <v>0</v>
      </c>
      <c r="OQW82">
        <v>7076358</v>
      </c>
      <c r="OQX82" t="s">
        <v>262</v>
      </c>
      <c r="OQY82" t="s">
        <v>196</v>
      </c>
      <c r="OQZ82">
        <v>53248</v>
      </c>
      <c r="ORA82" t="s">
        <v>260</v>
      </c>
      <c r="ORB82">
        <v>44048</v>
      </c>
      <c r="ORC82">
        <v>44048</v>
      </c>
      <c r="ORD82">
        <v>7076358</v>
      </c>
      <c r="ORE82">
        <v>0</v>
      </c>
      <c r="ORF82" t="s">
        <v>254</v>
      </c>
      <c r="ORG82">
        <v>830037946</v>
      </c>
      <c r="ORH82" t="s">
        <v>260</v>
      </c>
      <c r="ORI82">
        <v>131</v>
      </c>
      <c r="ORJ82" t="s">
        <v>261</v>
      </c>
      <c r="ORK82">
        <v>54018</v>
      </c>
      <c r="ORL82">
        <v>0</v>
      </c>
      <c r="ORM82">
        <v>7076358</v>
      </c>
      <c r="ORN82" t="s">
        <v>262</v>
      </c>
      <c r="ORO82" t="s">
        <v>196</v>
      </c>
      <c r="ORP82">
        <v>53248</v>
      </c>
      <c r="ORQ82" t="s">
        <v>260</v>
      </c>
      <c r="ORR82">
        <v>44048</v>
      </c>
      <c r="ORS82">
        <v>44048</v>
      </c>
      <c r="ORT82">
        <v>7076358</v>
      </c>
      <c r="ORU82">
        <v>0</v>
      </c>
      <c r="ORV82" t="s">
        <v>254</v>
      </c>
      <c r="ORW82">
        <v>830037946</v>
      </c>
      <c r="ORX82" t="s">
        <v>260</v>
      </c>
      <c r="ORY82">
        <v>131</v>
      </c>
      <c r="ORZ82" t="s">
        <v>261</v>
      </c>
      <c r="OSA82">
        <v>54018</v>
      </c>
      <c r="OSB82">
        <v>0</v>
      </c>
      <c r="OSC82">
        <v>7076358</v>
      </c>
      <c r="OSD82" t="s">
        <v>262</v>
      </c>
      <c r="OSE82" t="s">
        <v>196</v>
      </c>
      <c r="OSF82">
        <v>53248</v>
      </c>
      <c r="OSG82" t="s">
        <v>260</v>
      </c>
      <c r="OSH82">
        <v>44048</v>
      </c>
      <c r="OSI82">
        <v>44048</v>
      </c>
      <c r="OSJ82">
        <v>7076358</v>
      </c>
      <c r="OSK82">
        <v>0</v>
      </c>
      <c r="OSL82" t="s">
        <v>254</v>
      </c>
      <c r="OSM82">
        <v>830037946</v>
      </c>
      <c r="OSN82" t="s">
        <v>260</v>
      </c>
      <c r="OSO82">
        <v>131</v>
      </c>
      <c r="OSP82" t="s">
        <v>261</v>
      </c>
      <c r="OSQ82">
        <v>54018</v>
      </c>
      <c r="OSR82">
        <v>0</v>
      </c>
      <c r="OSS82">
        <v>7076358</v>
      </c>
      <c r="OST82" t="s">
        <v>262</v>
      </c>
      <c r="OSU82" t="s">
        <v>196</v>
      </c>
      <c r="OSV82">
        <v>53248</v>
      </c>
      <c r="OSW82" t="s">
        <v>260</v>
      </c>
      <c r="OSX82">
        <v>44048</v>
      </c>
      <c r="OSY82">
        <v>44048</v>
      </c>
      <c r="OSZ82">
        <v>7076358</v>
      </c>
      <c r="OTA82">
        <v>0</v>
      </c>
      <c r="OTB82" t="s">
        <v>254</v>
      </c>
      <c r="OTC82">
        <v>830037946</v>
      </c>
      <c r="OTD82" t="s">
        <v>260</v>
      </c>
      <c r="OTE82">
        <v>131</v>
      </c>
      <c r="OTF82" t="s">
        <v>261</v>
      </c>
      <c r="OTG82">
        <v>54018</v>
      </c>
      <c r="OTH82">
        <v>0</v>
      </c>
      <c r="OTI82">
        <v>7076358</v>
      </c>
      <c r="OTJ82" t="s">
        <v>262</v>
      </c>
      <c r="OTK82" t="s">
        <v>196</v>
      </c>
      <c r="OTL82">
        <v>53248</v>
      </c>
      <c r="OTM82" t="s">
        <v>260</v>
      </c>
      <c r="OTN82">
        <v>44048</v>
      </c>
      <c r="OTO82">
        <v>44048</v>
      </c>
      <c r="OTP82">
        <v>7076358</v>
      </c>
      <c r="OTQ82">
        <v>0</v>
      </c>
      <c r="OTR82" t="s">
        <v>254</v>
      </c>
      <c r="OTS82">
        <v>830037946</v>
      </c>
      <c r="OTT82" t="s">
        <v>260</v>
      </c>
      <c r="OTU82">
        <v>131</v>
      </c>
      <c r="OTV82" t="s">
        <v>261</v>
      </c>
      <c r="OTW82">
        <v>54018</v>
      </c>
      <c r="OTX82">
        <v>0</v>
      </c>
      <c r="OTY82">
        <v>7076358</v>
      </c>
      <c r="OTZ82" t="s">
        <v>262</v>
      </c>
      <c r="OUA82" t="s">
        <v>196</v>
      </c>
      <c r="OUB82">
        <v>53248</v>
      </c>
      <c r="OUC82" t="s">
        <v>260</v>
      </c>
      <c r="OUD82">
        <v>44048</v>
      </c>
      <c r="OUE82">
        <v>44048</v>
      </c>
      <c r="OUF82">
        <v>7076358</v>
      </c>
      <c r="OUG82">
        <v>0</v>
      </c>
      <c r="OUH82" t="s">
        <v>254</v>
      </c>
      <c r="OUI82">
        <v>830037946</v>
      </c>
      <c r="OUJ82" t="s">
        <v>260</v>
      </c>
      <c r="OUK82">
        <v>131</v>
      </c>
      <c r="OUL82" t="s">
        <v>261</v>
      </c>
      <c r="OUM82">
        <v>54018</v>
      </c>
      <c r="OUN82">
        <v>0</v>
      </c>
      <c r="OUO82">
        <v>7076358</v>
      </c>
      <c r="OUP82" t="s">
        <v>262</v>
      </c>
      <c r="OUQ82" t="s">
        <v>196</v>
      </c>
      <c r="OUR82">
        <v>53248</v>
      </c>
      <c r="OUS82" t="s">
        <v>260</v>
      </c>
      <c r="OUT82">
        <v>44048</v>
      </c>
      <c r="OUU82">
        <v>44048</v>
      </c>
      <c r="OUV82">
        <v>7076358</v>
      </c>
      <c r="OUW82">
        <v>0</v>
      </c>
      <c r="OUX82" t="s">
        <v>254</v>
      </c>
      <c r="OUY82">
        <v>830037946</v>
      </c>
      <c r="OUZ82" t="s">
        <v>260</v>
      </c>
      <c r="OVA82">
        <v>131</v>
      </c>
      <c r="OVB82" t="s">
        <v>261</v>
      </c>
      <c r="OVC82">
        <v>54018</v>
      </c>
      <c r="OVD82">
        <v>0</v>
      </c>
      <c r="OVE82">
        <v>7076358</v>
      </c>
      <c r="OVF82" t="s">
        <v>262</v>
      </c>
      <c r="OVG82" t="s">
        <v>196</v>
      </c>
      <c r="OVH82">
        <v>53248</v>
      </c>
      <c r="OVI82" t="s">
        <v>260</v>
      </c>
      <c r="OVJ82">
        <v>44048</v>
      </c>
      <c r="OVK82">
        <v>44048</v>
      </c>
      <c r="OVL82">
        <v>7076358</v>
      </c>
      <c r="OVM82">
        <v>0</v>
      </c>
      <c r="OVN82" t="s">
        <v>254</v>
      </c>
      <c r="OVO82">
        <v>830037946</v>
      </c>
      <c r="OVP82" t="s">
        <v>260</v>
      </c>
      <c r="OVQ82">
        <v>131</v>
      </c>
      <c r="OVR82" t="s">
        <v>261</v>
      </c>
      <c r="OVS82">
        <v>54018</v>
      </c>
      <c r="OVT82">
        <v>0</v>
      </c>
      <c r="OVU82">
        <v>7076358</v>
      </c>
      <c r="OVV82" t="s">
        <v>262</v>
      </c>
      <c r="OVW82" t="s">
        <v>196</v>
      </c>
      <c r="OVX82">
        <v>53248</v>
      </c>
      <c r="OVY82" t="s">
        <v>260</v>
      </c>
      <c r="OVZ82">
        <v>44048</v>
      </c>
      <c r="OWA82">
        <v>44048</v>
      </c>
      <c r="OWB82">
        <v>7076358</v>
      </c>
      <c r="OWC82">
        <v>0</v>
      </c>
      <c r="OWD82" t="s">
        <v>254</v>
      </c>
      <c r="OWE82">
        <v>830037946</v>
      </c>
      <c r="OWF82" t="s">
        <v>260</v>
      </c>
      <c r="OWG82">
        <v>131</v>
      </c>
      <c r="OWH82" t="s">
        <v>261</v>
      </c>
      <c r="OWI82">
        <v>54018</v>
      </c>
      <c r="OWJ82">
        <v>0</v>
      </c>
      <c r="OWK82">
        <v>7076358</v>
      </c>
      <c r="OWL82" t="s">
        <v>262</v>
      </c>
      <c r="OWM82" t="s">
        <v>196</v>
      </c>
      <c r="OWN82">
        <v>53248</v>
      </c>
      <c r="OWO82" t="s">
        <v>260</v>
      </c>
      <c r="OWP82">
        <v>44048</v>
      </c>
      <c r="OWQ82">
        <v>44048</v>
      </c>
      <c r="OWR82">
        <v>7076358</v>
      </c>
      <c r="OWS82">
        <v>0</v>
      </c>
      <c r="OWT82" t="s">
        <v>254</v>
      </c>
      <c r="OWU82">
        <v>830037946</v>
      </c>
      <c r="OWV82" t="s">
        <v>260</v>
      </c>
      <c r="OWW82">
        <v>131</v>
      </c>
      <c r="OWX82" t="s">
        <v>261</v>
      </c>
      <c r="OWY82">
        <v>54018</v>
      </c>
      <c r="OWZ82">
        <v>0</v>
      </c>
      <c r="OXA82">
        <v>7076358</v>
      </c>
      <c r="OXB82" t="s">
        <v>262</v>
      </c>
      <c r="OXC82" t="s">
        <v>196</v>
      </c>
      <c r="OXD82">
        <v>53248</v>
      </c>
      <c r="OXE82" t="s">
        <v>260</v>
      </c>
      <c r="OXF82">
        <v>44048</v>
      </c>
      <c r="OXG82">
        <v>44048</v>
      </c>
      <c r="OXH82">
        <v>7076358</v>
      </c>
      <c r="OXI82">
        <v>0</v>
      </c>
      <c r="OXJ82" t="s">
        <v>254</v>
      </c>
      <c r="OXK82">
        <v>830037946</v>
      </c>
      <c r="OXL82" t="s">
        <v>260</v>
      </c>
      <c r="OXM82">
        <v>131</v>
      </c>
      <c r="OXN82" t="s">
        <v>261</v>
      </c>
      <c r="OXO82">
        <v>54018</v>
      </c>
      <c r="OXP82">
        <v>0</v>
      </c>
      <c r="OXQ82">
        <v>7076358</v>
      </c>
      <c r="OXR82" t="s">
        <v>262</v>
      </c>
      <c r="OXS82" t="s">
        <v>196</v>
      </c>
      <c r="OXT82">
        <v>53248</v>
      </c>
      <c r="OXU82" t="s">
        <v>260</v>
      </c>
      <c r="OXV82">
        <v>44048</v>
      </c>
      <c r="OXW82">
        <v>44048</v>
      </c>
      <c r="OXX82">
        <v>7076358</v>
      </c>
      <c r="OXY82">
        <v>0</v>
      </c>
      <c r="OXZ82" t="s">
        <v>254</v>
      </c>
      <c r="OYA82">
        <v>830037946</v>
      </c>
      <c r="OYB82" t="s">
        <v>260</v>
      </c>
      <c r="OYC82">
        <v>131</v>
      </c>
      <c r="OYD82" t="s">
        <v>261</v>
      </c>
      <c r="OYE82">
        <v>54018</v>
      </c>
      <c r="OYF82">
        <v>0</v>
      </c>
      <c r="OYG82">
        <v>7076358</v>
      </c>
      <c r="OYH82" t="s">
        <v>262</v>
      </c>
      <c r="OYI82" t="s">
        <v>196</v>
      </c>
      <c r="OYJ82">
        <v>53248</v>
      </c>
      <c r="OYK82" t="s">
        <v>260</v>
      </c>
      <c r="OYL82">
        <v>44048</v>
      </c>
      <c r="OYM82">
        <v>44048</v>
      </c>
      <c r="OYN82">
        <v>7076358</v>
      </c>
      <c r="OYO82">
        <v>0</v>
      </c>
      <c r="OYP82" t="s">
        <v>254</v>
      </c>
      <c r="OYQ82">
        <v>830037946</v>
      </c>
      <c r="OYR82" t="s">
        <v>260</v>
      </c>
      <c r="OYS82">
        <v>131</v>
      </c>
      <c r="OYT82" t="s">
        <v>261</v>
      </c>
      <c r="OYU82">
        <v>54018</v>
      </c>
      <c r="OYV82">
        <v>0</v>
      </c>
      <c r="OYW82">
        <v>7076358</v>
      </c>
      <c r="OYX82" t="s">
        <v>262</v>
      </c>
      <c r="OYY82" t="s">
        <v>196</v>
      </c>
      <c r="OYZ82">
        <v>53248</v>
      </c>
      <c r="OZA82" t="s">
        <v>260</v>
      </c>
      <c r="OZB82">
        <v>44048</v>
      </c>
      <c r="OZC82">
        <v>44048</v>
      </c>
      <c r="OZD82">
        <v>7076358</v>
      </c>
      <c r="OZE82">
        <v>0</v>
      </c>
      <c r="OZF82" t="s">
        <v>254</v>
      </c>
      <c r="OZG82">
        <v>830037946</v>
      </c>
      <c r="OZH82" t="s">
        <v>260</v>
      </c>
      <c r="OZI82">
        <v>131</v>
      </c>
      <c r="OZJ82" t="s">
        <v>261</v>
      </c>
      <c r="OZK82">
        <v>54018</v>
      </c>
      <c r="OZL82">
        <v>0</v>
      </c>
      <c r="OZM82">
        <v>7076358</v>
      </c>
      <c r="OZN82" t="s">
        <v>262</v>
      </c>
      <c r="OZO82" t="s">
        <v>196</v>
      </c>
      <c r="OZP82">
        <v>53248</v>
      </c>
      <c r="OZQ82" t="s">
        <v>260</v>
      </c>
      <c r="OZR82">
        <v>44048</v>
      </c>
      <c r="OZS82">
        <v>44048</v>
      </c>
      <c r="OZT82">
        <v>7076358</v>
      </c>
      <c r="OZU82">
        <v>0</v>
      </c>
      <c r="OZV82" t="s">
        <v>254</v>
      </c>
      <c r="OZW82">
        <v>830037946</v>
      </c>
      <c r="OZX82" t="s">
        <v>260</v>
      </c>
      <c r="OZY82">
        <v>131</v>
      </c>
      <c r="OZZ82" t="s">
        <v>261</v>
      </c>
      <c r="PAA82">
        <v>54018</v>
      </c>
      <c r="PAB82">
        <v>0</v>
      </c>
      <c r="PAC82">
        <v>7076358</v>
      </c>
      <c r="PAD82" t="s">
        <v>262</v>
      </c>
      <c r="PAE82" t="s">
        <v>196</v>
      </c>
      <c r="PAF82">
        <v>53248</v>
      </c>
      <c r="PAG82" t="s">
        <v>260</v>
      </c>
      <c r="PAH82">
        <v>44048</v>
      </c>
      <c r="PAI82">
        <v>44048</v>
      </c>
      <c r="PAJ82">
        <v>7076358</v>
      </c>
      <c r="PAK82">
        <v>0</v>
      </c>
      <c r="PAL82" t="s">
        <v>254</v>
      </c>
      <c r="PAM82">
        <v>830037946</v>
      </c>
      <c r="PAN82" t="s">
        <v>260</v>
      </c>
      <c r="PAO82">
        <v>131</v>
      </c>
      <c r="PAP82" t="s">
        <v>261</v>
      </c>
      <c r="PAQ82">
        <v>54018</v>
      </c>
      <c r="PAR82">
        <v>0</v>
      </c>
      <c r="PAS82">
        <v>7076358</v>
      </c>
      <c r="PAT82" t="s">
        <v>262</v>
      </c>
      <c r="PAU82" t="s">
        <v>196</v>
      </c>
      <c r="PAV82">
        <v>53248</v>
      </c>
      <c r="PAW82" t="s">
        <v>260</v>
      </c>
      <c r="PAX82">
        <v>44048</v>
      </c>
      <c r="PAY82">
        <v>44048</v>
      </c>
      <c r="PAZ82">
        <v>7076358</v>
      </c>
      <c r="PBA82">
        <v>0</v>
      </c>
      <c r="PBB82" t="s">
        <v>254</v>
      </c>
      <c r="PBC82">
        <v>830037946</v>
      </c>
      <c r="PBD82" t="s">
        <v>260</v>
      </c>
      <c r="PBE82">
        <v>131</v>
      </c>
      <c r="PBF82" t="s">
        <v>261</v>
      </c>
      <c r="PBG82">
        <v>54018</v>
      </c>
      <c r="PBH82">
        <v>0</v>
      </c>
      <c r="PBI82">
        <v>7076358</v>
      </c>
      <c r="PBJ82" t="s">
        <v>262</v>
      </c>
      <c r="PBK82" t="s">
        <v>196</v>
      </c>
      <c r="PBL82">
        <v>53248</v>
      </c>
      <c r="PBM82" t="s">
        <v>260</v>
      </c>
      <c r="PBN82">
        <v>44048</v>
      </c>
      <c r="PBO82">
        <v>44048</v>
      </c>
      <c r="PBP82">
        <v>7076358</v>
      </c>
      <c r="PBQ82">
        <v>0</v>
      </c>
      <c r="PBR82" t="s">
        <v>254</v>
      </c>
      <c r="PBS82">
        <v>830037946</v>
      </c>
      <c r="PBT82" t="s">
        <v>260</v>
      </c>
      <c r="PBU82">
        <v>131</v>
      </c>
      <c r="PBV82" t="s">
        <v>261</v>
      </c>
      <c r="PBW82">
        <v>54018</v>
      </c>
      <c r="PBX82">
        <v>0</v>
      </c>
      <c r="PBY82">
        <v>7076358</v>
      </c>
      <c r="PBZ82" t="s">
        <v>262</v>
      </c>
      <c r="PCA82" t="s">
        <v>196</v>
      </c>
      <c r="PCB82">
        <v>53248</v>
      </c>
      <c r="PCC82" t="s">
        <v>260</v>
      </c>
      <c r="PCD82">
        <v>44048</v>
      </c>
      <c r="PCE82">
        <v>44048</v>
      </c>
      <c r="PCF82">
        <v>7076358</v>
      </c>
      <c r="PCG82">
        <v>0</v>
      </c>
      <c r="PCH82" t="s">
        <v>254</v>
      </c>
      <c r="PCI82">
        <v>830037946</v>
      </c>
      <c r="PCJ82" t="s">
        <v>260</v>
      </c>
      <c r="PCK82">
        <v>131</v>
      </c>
      <c r="PCL82" t="s">
        <v>261</v>
      </c>
      <c r="PCM82">
        <v>54018</v>
      </c>
      <c r="PCN82">
        <v>0</v>
      </c>
      <c r="PCO82">
        <v>7076358</v>
      </c>
      <c r="PCP82" t="s">
        <v>262</v>
      </c>
      <c r="PCQ82" t="s">
        <v>196</v>
      </c>
      <c r="PCR82">
        <v>53248</v>
      </c>
      <c r="PCS82" t="s">
        <v>260</v>
      </c>
      <c r="PCT82">
        <v>44048</v>
      </c>
      <c r="PCU82">
        <v>44048</v>
      </c>
      <c r="PCV82">
        <v>7076358</v>
      </c>
      <c r="PCW82">
        <v>0</v>
      </c>
      <c r="PCX82" t="s">
        <v>254</v>
      </c>
      <c r="PCY82">
        <v>830037946</v>
      </c>
      <c r="PCZ82" t="s">
        <v>260</v>
      </c>
      <c r="PDA82">
        <v>131</v>
      </c>
      <c r="PDB82" t="s">
        <v>261</v>
      </c>
      <c r="PDC82">
        <v>54018</v>
      </c>
      <c r="PDD82">
        <v>0</v>
      </c>
      <c r="PDE82">
        <v>7076358</v>
      </c>
      <c r="PDF82" t="s">
        <v>262</v>
      </c>
      <c r="PDG82" t="s">
        <v>196</v>
      </c>
      <c r="PDH82">
        <v>53248</v>
      </c>
      <c r="PDI82" t="s">
        <v>260</v>
      </c>
      <c r="PDJ82">
        <v>44048</v>
      </c>
      <c r="PDK82">
        <v>44048</v>
      </c>
      <c r="PDL82">
        <v>7076358</v>
      </c>
      <c r="PDM82">
        <v>0</v>
      </c>
      <c r="PDN82" t="s">
        <v>254</v>
      </c>
      <c r="PDO82">
        <v>830037946</v>
      </c>
      <c r="PDP82" t="s">
        <v>260</v>
      </c>
      <c r="PDQ82">
        <v>131</v>
      </c>
      <c r="PDR82" t="s">
        <v>261</v>
      </c>
      <c r="PDS82">
        <v>54018</v>
      </c>
      <c r="PDT82">
        <v>0</v>
      </c>
      <c r="PDU82">
        <v>7076358</v>
      </c>
      <c r="PDV82" t="s">
        <v>262</v>
      </c>
      <c r="PDW82" t="s">
        <v>196</v>
      </c>
      <c r="PDX82">
        <v>53248</v>
      </c>
      <c r="PDY82" t="s">
        <v>260</v>
      </c>
      <c r="PDZ82">
        <v>44048</v>
      </c>
      <c r="PEA82">
        <v>44048</v>
      </c>
      <c r="PEB82">
        <v>7076358</v>
      </c>
      <c r="PEC82">
        <v>0</v>
      </c>
      <c r="PED82" t="s">
        <v>254</v>
      </c>
      <c r="PEE82">
        <v>830037946</v>
      </c>
      <c r="PEF82" t="s">
        <v>260</v>
      </c>
      <c r="PEG82">
        <v>131</v>
      </c>
      <c r="PEH82" t="s">
        <v>261</v>
      </c>
      <c r="PEI82">
        <v>54018</v>
      </c>
      <c r="PEJ82">
        <v>0</v>
      </c>
      <c r="PEK82">
        <v>7076358</v>
      </c>
      <c r="PEL82" t="s">
        <v>262</v>
      </c>
      <c r="PEM82" t="s">
        <v>196</v>
      </c>
      <c r="PEN82">
        <v>53248</v>
      </c>
      <c r="PEO82" t="s">
        <v>260</v>
      </c>
      <c r="PEP82">
        <v>44048</v>
      </c>
      <c r="PEQ82">
        <v>44048</v>
      </c>
      <c r="PER82">
        <v>7076358</v>
      </c>
      <c r="PES82">
        <v>0</v>
      </c>
      <c r="PET82" t="s">
        <v>254</v>
      </c>
      <c r="PEU82">
        <v>830037946</v>
      </c>
      <c r="PEV82" t="s">
        <v>260</v>
      </c>
      <c r="PEW82">
        <v>131</v>
      </c>
      <c r="PEX82" t="s">
        <v>261</v>
      </c>
      <c r="PEY82">
        <v>54018</v>
      </c>
      <c r="PEZ82">
        <v>0</v>
      </c>
      <c r="PFA82">
        <v>7076358</v>
      </c>
      <c r="PFB82" t="s">
        <v>262</v>
      </c>
      <c r="PFC82" t="s">
        <v>196</v>
      </c>
      <c r="PFD82">
        <v>53248</v>
      </c>
      <c r="PFE82" t="s">
        <v>260</v>
      </c>
      <c r="PFF82">
        <v>44048</v>
      </c>
      <c r="PFG82">
        <v>44048</v>
      </c>
      <c r="PFH82">
        <v>7076358</v>
      </c>
      <c r="PFI82">
        <v>0</v>
      </c>
      <c r="PFJ82" t="s">
        <v>254</v>
      </c>
      <c r="PFK82">
        <v>830037946</v>
      </c>
      <c r="PFL82" t="s">
        <v>260</v>
      </c>
      <c r="PFM82">
        <v>131</v>
      </c>
      <c r="PFN82" t="s">
        <v>261</v>
      </c>
      <c r="PFO82">
        <v>54018</v>
      </c>
      <c r="PFP82">
        <v>0</v>
      </c>
      <c r="PFQ82">
        <v>7076358</v>
      </c>
      <c r="PFR82" t="s">
        <v>262</v>
      </c>
      <c r="PFS82" t="s">
        <v>196</v>
      </c>
      <c r="PFT82">
        <v>53248</v>
      </c>
      <c r="PFU82" t="s">
        <v>260</v>
      </c>
      <c r="PFV82">
        <v>44048</v>
      </c>
      <c r="PFW82">
        <v>44048</v>
      </c>
      <c r="PFX82">
        <v>7076358</v>
      </c>
      <c r="PFY82">
        <v>0</v>
      </c>
      <c r="PFZ82" t="s">
        <v>254</v>
      </c>
      <c r="PGA82">
        <v>830037946</v>
      </c>
      <c r="PGB82" t="s">
        <v>260</v>
      </c>
      <c r="PGC82">
        <v>131</v>
      </c>
      <c r="PGD82" t="s">
        <v>261</v>
      </c>
      <c r="PGE82">
        <v>54018</v>
      </c>
      <c r="PGF82">
        <v>0</v>
      </c>
      <c r="PGG82">
        <v>7076358</v>
      </c>
      <c r="PGH82" t="s">
        <v>262</v>
      </c>
      <c r="PGI82" t="s">
        <v>196</v>
      </c>
      <c r="PGJ82">
        <v>53248</v>
      </c>
      <c r="PGK82" t="s">
        <v>260</v>
      </c>
      <c r="PGL82">
        <v>44048</v>
      </c>
      <c r="PGM82">
        <v>44048</v>
      </c>
      <c r="PGN82">
        <v>7076358</v>
      </c>
      <c r="PGO82">
        <v>0</v>
      </c>
      <c r="PGP82" t="s">
        <v>254</v>
      </c>
      <c r="PGQ82">
        <v>830037946</v>
      </c>
      <c r="PGR82" t="s">
        <v>260</v>
      </c>
      <c r="PGS82">
        <v>131</v>
      </c>
      <c r="PGT82" t="s">
        <v>261</v>
      </c>
      <c r="PGU82">
        <v>54018</v>
      </c>
      <c r="PGV82">
        <v>0</v>
      </c>
      <c r="PGW82">
        <v>7076358</v>
      </c>
      <c r="PGX82" t="s">
        <v>262</v>
      </c>
      <c r="PGY82" t="s">
        <v>196</v>
      </c>
      <c r="PGZ82">
        <v>53248</v>
      </c>
      <c r="PHA82" t="s">
        <v>260</v>
      </c>
      <c r="PHB82">
        <v>44048</v>
      </c>
      <c r="PHC82">
        <v>44048</v>
      </c>
      <c r="PHD82">
        <v>7076358</v>
      </c>
      <c r="PHE82">
        <v>0</v>
      </c>
      <c r="PHF82" t="s">
        <v>254</v>
      </c>
      <c r="PHG82">
        <v>830037946</v>
      </c>
      <c r="PHH82" t="s">
        <v>260</v>
      </c>
      <c r="PHI82">
        <v>131</v>
      </c>
      <c r="PHJ82" t="s">
        <v>261</v>
      </c>
      <c r="PHK82">
        <v>54018</v>
      </c>
      <c r="PHL82">
        <v>0</v>
      </c>
      <c r="PHM82">
        <v>7076358</v>
      </c>
      <c r="PHN82" t="s">
        <v>262</v>
      </c>
      <c r="PHO82" t="s">
        <v>196</v>
      </c>
      <c r="PHP82">
        <v>53248</v>
      </c>
      <c r="PHQ82" t="s">
        <v>260</v>
      </c>
      <c r="PHR82">
        <v>44048</v>
      </c>
      <c r="PHS82">
        <v>44048</v>
      </c>
      <c r="PHT82">
        <v>7076358</v>
      </c>
      <c r="PHU82">
        <v>0</v>
      </c>
      <c r="PHV82" t="s">
        <v>254</v>
      </c>
      <c r="PHW82">
        <v>830037946</v>
      </c>
      <c r="PHX82" t="s">
        <v>260</v>
      </c>
      <c r="PHY82">
        <v>131</v>
      </c>
      <c r="PHZ82" t="s">
        <v>261</v>
      </c>
      <c r="PIA82">
        <v>54018</v>
      </c>
      <c r="PIB82">
        <v>0</v>
      </c>
      <c r="PIC82">
        <v>7076358</v>
      </c>
      <c r="PID82" t="s">
        <v>262</v>
      </c>
      <c r="PIE82" t="s">
        <v>196</v>
      </c>
      <c r="PIF82">
        <v>53248</v>
      </c>
      <c r="PIG82" t="s">
        <v>260</v>
      </c>
      <c r="PIH82">
        <v>44048</v>
      </c>
      <c r="PII82">
        <v>44048</v>
      </c>
      <c r="PIJ82">
        <v>7076358</v>
      </c>
      <c r="PIK82">
        <v>0</v>
      </c>
      <c r="PIL82" t="s">
        <v>254</v>
      </c>
      <c r="PIM82">
        <v>830037946</v>
      </c>
      <c r="PIN82" t="s">
        <v>260</v>
      </c>
      <c r="PIO82">
        <v>131</v>
      </c>
      <c r="PIP82" t="s">
        <v>261</v>
      </c>
      <c r="PIQ82">
        <v>54018</v>
      </c>
      <c r="PIR82">
        <v>0</v>
      </c>
      <c r="PIS82">
        <v>7076358</v>
      </c>
      <c r="PIT82" t="s">
        <v>262</v>
      </c>
      <c r="PIU82" t="s">
        <v>196</v>
      </c>
      <c r="PIV82">
        <v>53248</v>
      </c>
      <c r="PIW82" t="s">
        <v>260</v>
      </c>
      <c r="PIX82">
        <v>44048</v>
      </c>
      <c r="PIY82">
        <v>44048</v>
      </c>
      <c r="PIZ82">
        <v>7076358</v>
      </c>
      <c r="PJA82">
        <v>0</v>
      </c>
      <c r="PJB82" t="s">
        <v>254</v>
      </c>
      <c r="PJC82">
        <v>830037946</v>
      </c>
      <c r="PJD82" t="s">
        <v>260</v>
      </c>
      <c r="PJE82">
        <v>131</v>
      </c>
      <c r="PJF82" t="s">
        <v>261</v>
      </c>
      <c r="PJG82">
        <v>54018</v>
      </c>
      <c r="PJH82">
        <v>0</v>
      </c>
      <c r="PJI82">
        <v>7076358</v>
      </c>
      <c r="PJJ82" t="s">
        <v>262</v>
      </c>
      <c r="PJK82" t="s">
        <v>196</v>
      </c>
      <c r="PJL82">
        <v>53248</v>
      </c>
      <c r="PJM82" t="s">
        <v>260</v>
      </c>
      <c r="PJN82">
        <v>44048</v>
      </c>
      <c r="PJO82">
        <v>44048</v>
      </c>
      <c r="PJP82">
        <v>7076358</v>
      </c>
      <c r="PJQ82">
        <v>0</v>
      </c>
      <c r="PJR82" t="s">
        <v>254</v>
      </c>
      <c r="PJS82">
        <v>830037946</v>
      </c>
      <c r="PJT82" t="s">
        <v>260</v>
      </c>
      <c r="PJU82">
        <v>131</v>
      </c>
      <c r="PJV82" t="s">
        <v>261</v>
      </c>
      <c r="PJW82">
        <v>54018</v>
      </c>
      <c r="PJX82">
        <v>0</v>
      </c>
      <c r="PJY82">
        <v>7076358</v>
      </c>
      <c r="PJZ82" t="s">
        <v>262</v>
      </c>
      <c r="PKA82" t="s">
        <v>196</v>
      </c>
      <c r="PKB82">
        <v>53248</v>
      </c>
      <c r="PKC82" t="s">
        <v>260</v>
      </c>
      <c r="PKD82">
        <v>44048</v>
      </c>
      <c r="PKE82">
        <v>44048</v>
      </c>
      <c r="PKF82">
        <v>7076358</v>
      </c>
      <c r="PKG82">
        <v>0</v>
      </c>
      <c r="PKH82" t="s">
        <v>254</v>
      </c>
      <c r="PKI82">
        <v>830037946</v>
      </c>
      <c r="PKJ82" t="s">
        <v>260</v>
      </c>
      <c r="PKK82">
        <v>131</v>
      </c>
      <c r="PKL82" t="s">
        <v>261</v>
      </c>
      <c r="PKM82">
        <v>54018</v>
      </c>
      <c r="PKN82">
        <v>0</v>
      </c>
      <c r="PKO82">
        <v>7076358</v>
      </c>
      <c r="PKP82" t="s">
        <v>262</v>
      </c>
      <c r="PKQ82" t="s">
        <v>196</v>
      </c>
      <c r="PKR82">
        <v>53248</v>
      </c>
      <c r="PKS82" t="s">
        <v>260</v>
      </c>
      <c r="PKT82">
        <v>44048</v>
      </c>
      <c r="PKU82">
        <v>44048</v>
      </c>
      <c r="PKV82">
        <v>7076358</v>
      </c>
      <c r="PKW82">
        <v>0</v>
      </c>
      <c r="PKX82" t="s">
        <v>254</v>
      </c>
      <c r="PKY82">
        <v>830037946</v>
      </c>
      <c r="PKZ82" t="s">
        <v>260</v>
      </c>
      <c r="PLA82">
        <v>131</v>
      </c>
      <c r="PLB82" t="s">
        <v>261</v>
      </c>
      <c r="PLC82">
        <v>54018</v>
      </c>
      <c r="PLD82">
        <v>0</v>
      </c>
      <c r="PLE82">
        <v>7076358</v>
      </c>
      <c r="PLF82" t="s">
        <v>262</v>
      </c>
      <c r="PLG82" t="s">
        <v>196</v>
      </c>
      <c r="PLH82">
        <v>53248</v>
      </c>
      <c r="PLI82" t="s">
        <v>260</v>
      </c>
      <c r="PLJ82">
        <v>44048</v>
      </c>
      <c r="PLK82">
        <v>44048</v>
      </c>
      <c r="PLL82">
        <v>7076358</v>
      </c>
      <c r="PLM82">
        <v>0</v>
      </c>
      <c r="PLN82" t="s">
        <v>254</v>
      </c>
      <c r="PLO82">
        <v>830037946</v>
      </c>
      <c r="PLP82" t="s">
        <v>260</v>
      </c>
      <c r="PLQ82">
        <v>131</v>
      </c>
      <c r="PLR82" t="s">
        <v>261</v>
      </c>
      <c r="PLS82">
        <v>54018</v>
      </c>
      <c r="PLT82">
        <v>0</v>
      </c>
      <c r="PLU82">
        <v>7076358</v>
      </c>
      <c r="PLV82" t="s">
        <v>262</v>
      </c>
      <c r="PLW82" t="s">
        <v>196</v>
      </c>
      <c r="PLX82">
        <v>53248</v>
      </c>
      <c r="PLY82" t="s">
        <v>260</v>
      </c>
      <c r="PLZ82">
        <v>44048</v>
      </c>
      <c r="PMA82">
        <v>44048</v>
      </c>
      <c r="PMB82">
        <v>7076358</v>
      </c>
      <c r="PMC82">
        <v>0</v>
      </c>
      <c r="PMD82" t="s">
        <v>254</v>
      </c>
      <c r="PME82">
        <v>830037946</v>
      </c>
      <c r="PMF82" t="s">
        <v>260</v>
      </c>
      <c r="PMG82">
        <v>131</v>
      </c>
      <c r="PMH82" t="s">
        <v>261</v>
      </c>
      <c r="PMI82">
        <v>54018</v>
      </c>
      <c r="PMJ82">
        <v>0</v>
      </c>
      <c r="PMK82">
        <v>7076358</v>
      </c>
      <c r="PML82" t="s">
        <v>262</v>
      </c>
      <c r="PMM82" t="s">
        <v>196</v>
      </c>
      <c r="PMN82">
        <v>53248</v>
      </c>
      <c r="PMO82" t="s">
        <v>260</v>
      </c>
      <c r="PMP82">
        <v>44048</v>
      </c>
      <c r="PMQ82">
        <v>44048</v>
      </c>
      <c r="PMR82">
        <v>7076358</v>
      </c>
      <c r="PMS82">
        <v>0</v>
      </c>
      <c r="PMT82" t="s">
        <v>254</v>
      </c>
      <c r="PMU82">
        <v>830037946</v>
      </c>
      <c r="PMV82" t="s">
        <v>260</v>
      </c>
      <c r="PMW82">
        <v>131</v>
      </c>
      <c r="PMX82" t="s">
        <v>261</v>
      </c>
      <c r="PMY82">
        <v>54018</v>
      </c>
      <c r="PMZ82">
        <v>0</v>
      </c>
      <c r="PNA82">
        <v>7076358</v>
      </c>
      <c r="PNB82" t="s">
        <v>262</v>
      </c>
      <c r="PNC82" t="s">
        <v>196</v>
      </c>
      <c r="PND82">
        <v>53248</v>
      </c>
      <c r="PNE82" t="s">
        <v>260</v>
      </c>
      <c r="PNF82">
        <v>44048</v>
      </c>
      <c r="PNG82">
        <v>44048</v>
      </c>
      <c r="PNH82">
        <v>7076358</v>
      </c>
      <c r="PNI82">
        <v>0</v>
      </c>
      <c r="PNJ82" t="s">
        <v>254</v>
      </c>
      <c r="PNK82">
        <v>830037946</v>
      </c>
      <c r="PNL82" t="s">
        <v>260</v>
      </c>
      <c r="PNM82">
        <v>131</v>
      </c>
      <c r="PNN82" t="s">
        <v>261</v>
      </c>
      <c r="PNO82">
        <v>54018</v>
      </c>
      <c r="PNP82">
        <v>0</v>
      </c>
      <c r="PNQ82">
        <v>7076358</v>
      </c>
      <c r="PNR82" t="s">
        <v>262</v>
      </c>
      <c r="PNS82" t="s">
        <v>196</v>
      </c>
      <c r="PNT82">
        <v>53248</v>
      </c>
      <c r="PNU82" t="s">
        <v>260</v>
      </c>
      <c r="PNV82">
        <v>44048</v>
      </c>
      <c r="PNW82">
        <v>44048</v>
      </c>
      <c r="PNX82">
        <v>7076358</v>
      </c>
      <c r="PNY82">
        <v>0</v>
      </c>
      <c r="PNZ82" t="s">
        <v>254</v>
      </c>
      <c r="POA82">
        <v>830037946</v>
      </c>
      <c r="POB82" t="s">
        <v>260</v>
      </c>
      <c r="POC82">
        <v>131</v>
      </c>
      <c r="POD82" t="s">
        <v>261</v>
      </c>
      <c r="POE82">
        <v>54018</v>
      </c>
      <c r="POF82">
        <v>0</v>
      </c>
      <c r="POG82">
        <v>7076358</v>
      </c>
      <c r="POH82" t="s">
        <v>262</v>
      </c>
      <c r="POI82" t="s">
        <v>196</v>
      </c>
      <c r="POJ82">
        <v>53248</v>
      </c>
      <c r="POK82" t="s">
        <v>260</v>
      </c>
      <c r="POL82">
        <v>44048</v>
      </c>
      <c r="POM82">
        <v>44048</v>
      </c>
      <c r="PON82">
        <v>7076358</v>
      </c>
      <c r="POO82">
        <v>0</v>
      </c>
      <c r="POP82" t="s">
        <v>254</v>
      </c>
      <c r="POQ82">
        <v>830037946</v>
      </c>
      <c r="POR82" t="s">
        <v>260</v>
      </c>
      <c r="POS82">
        <v>131</v>
      </c>
      <c r="POT82" t="s">
        <v>261</v>
      </c>
      <c r="POU82">
        <v>54018</v>
      </c>
      <c r="POV82">
        <v>0</v>
      </c>
      <c r="POW82">
        <v>7076358</v>
      </c>
      <c r="POX82" t="s">
        <v>262</v>
      </c>
      <c r="POY82" t="s">
        <v>196</v>
      </c>
      <c r="POZ82">
        <v>53248</v>
      </c>
      <c r="PPA82" t="s">
        <v>260</v>
      </c>
      <c r="PPB82">
        <v>44048</v>
      </c>
      <c r="PPC82">
        <v>44048</v>
      </c>
      <c r="PPD82">
        <v>7076358</v>
      </c>
      <c r="PPE82">
        <v>0</v>
      </c>
      <c r="PPF82" t="s">
        <v>254</v>
      </c>
      <c r="PPG82">
        <v>830037946</v>
      </c>
      <c r="PPH82" t="s">
        <v>260</v>
      </c>
      <c r="PPI82">
        <v>131</v>
      </c>
      <c r="PPJ82" t="s">
        <v>261</v>
      </c>
      <c r="PPK82">
        <v>54018</v>
      </c>
      <c r="PPL82">
        <v>0</v>
      </c>
      <c r="PPM82">
        <v>7076358</v>
      </c>
      <c r="PPN82" t="s">
        <v>262</v>
      </c>
      <c r="PPO82" t="s">
        <v>196</v>
      </c>
      <c r="PPP82">
        <v>53248</v>
      </c>
      <c r="PPQ82" t="s">
        <v>260</v>
      </c>
      <c r="PPR82">
        <v>44048</v>
      </c>
      <c r="PPS82">
        <v>44048</v>
      </c>
      <c r="PPT82">
        <v>7076358</v>
      </c>
      <c r="PPU82">
        <v>0</v>
      </c>
      <c r="PPV82" t="s">
        <v>254</v>
      </c>
      <c r="PPW82">
        <v>830037946</v>
      </c>
      <c r="PPX82" t="s">
        <v>260</v>
      </c>
      <c r="PPY82">
        <v>131</v>
      </c>
      <c r="PPZ82" t="s">
        <v>261</v>
      </c>
      <c r="PQA82">
        <v>54018</v>
      </c>
      <c r="PQB82">
        <v>0</v>
      </c>
      <c r="PQC82">
        <v>7076358</v>
      </c>
      <c r="PQD82" t="s">
        <v>262</v>
      </c>
      <c r="PQE82" t="s">
        <v>196</v>
      </c>
      <c r="PQF82">
        <v>53248</v>
      </c>
      <c r="PQG82" t="s">
        <v>260</v>
      </c>
      <c r="PQH82">
        <v>44048</v>
      </c>
      <c r="PQI82">
        <v>44048</v>
      </c>
      <c r="PQJ82">
        <v>7076358</v>
      </c>
      <c r="PQK82">
        <v>0</v>
      </c>
      <c r="PQL82" t="s">
        <v>254</v>
      </c>
      <c r="PQM82">
        <v>830037946</v>
      </c>
      <c r="PQN82" t="s">
        <v>260</v>
      </c>
      <c r="PQO82">
        <v>131</v>
      </c>
      <c r="PQP82" t="s">
        <v>261</v>
      </c>
      <c r="PQQ82">
        <v>54018</v>
      </c>
      <c r="PQR82">
        <v>0</v>
      </c>
      <c r="PQS82">
        <v>7076358</v>
      </c>
      <c r="PQT82" t="s">
        <v>262</v>
      </c>
      <c r="PQU82" t="s">
        <v>196</v>
      </c>
      <c r="PQV82">
        <v>53248</v>
      </c>
      <c r="PQW82" t="s">
        <v>260</v>
      </c>
      <c r="PQX82">
        <v>44048</v>
      </c>
      <c r="PQY82">
        <v>44048</v>
      </c>
      <c r="PQZ82">
        <v>7076358</v>
      </c>
      <c r="PRA82">
        <v>0</v>
      </c>
      <c r="PRB82" t="s">
        <v>254</v>
      </c>
      <c r="PRC82">
        <v>830037946</v>
      </c>
      <c r="PRD82" t="s">
        <v>260</v>
      </c>
      <c r="PRE82">
        <v>131</v>
      </c>
      <c r="PRF82" t="s">
        <v>261</v>
      </c>
      <c r="PRG82">
        <v>54018</v>
      </c>
      <c r="PRH82">
        <v>0</v>
      </c>
      <c r="PRI82">
        <v>7076358</v>
      </c>
      <c r="PRJ82" t="s">
        <v>262</v>
      </c>
      <c r="PRK82" t="s">
        <v>196</v>
      </c>
      <c r="PRL82">
        <v>53248</v>
      </c>
      <c r="PRM82" t="s">
        <v>260</v>
      </c>
      <c r="PRN82">
        <v>44048</v>
      </c>
      <c r="PRO82">
        <v>44048</v>
      </c>
      <c r="PRP82">
        <v>7076358</v>
      </c>
      <c r="PRQ82">
        <v>0</v>
      </c>
      <c r="PRR82" t="s">
        <v>254</v>
      </c>
      <c r="PRS82">
        <v>830037946</v>
      </c>
      <c r="PRT82" t="s">
        <v>260</v>
      </c>
      <c r="PRU82">
        <v>131</v>
      </c>
      <c r="PRV82" t="s">
        <v>261</v>
      </c>
      <c r="PRW82">
        <v>54018</v>
      </c>
      <c r="PRX82">
        <v>0</v>
      </c>
      <c r="PRY82">
        <v>7076358</v>
      </c>
      <c r="PRZ82" t="s">
        <v>262</v>
      </c>
      <c r="PSA82" t="s">
        <v>196</v>
      </c>
      <c r="PSB82">
        <v>53248</v>
      </c>
      <c r="PSC82" t="s">
        <v>260</v>
      </c>
      <c r="PSD82">
        <v>44048</v>
      </c>
      <c r="PSE82">
        <v>44048</v>
      </c>
      <c r="PSF82">
        <v>7076358</v>
      </c>
      <c r="PSG82">
        <v>0</v>
      </c>
      <c r="PSH82" t="s">
        <v>254</v>
      </c>
      <c r="PSI82">
        <v>830037946</v>
      </c>
      <c r="PSJ82" t="s">
        <v>260</v>
      </c>
      <c r="PSK82">
        <v>131</v>
      </c>
      <c r="PSL82" t="s">
        <v>261</v>
      </c>
      <c r="PSM82">
        <v>54018</v>
      </c>
      <c r="PSN82">
        <v>0</v>
      </c>
      <c r="PSO82">
        <v>7076358</v>
      </c>
      <c r="PSP82" t="s">
        <v>262</v>
      </c>
      <c r="PSQ82" t="s">
        <v>196</v>
      </c>
      <c r="PSR82">
        <v>53248</v>
      </c>
      <c r="PSS82" t="s">
        <v>260</v>
      </c>
      <c r="PST82">
        <v>44048</v>
      </c>
      <c r="PSU82">
        <v>44048</v>
      </c>
      <c r="PSV82">
        <v>7076358</v>
      </c>
      <c r="PSW82">
        <v>0</v>
      </c>
      <c r="PSX82" t="s">
        <v>254</v>
      </c>
      <c r="PSY82">
        <v>830037946</v>
      </c>
      <c r="PSZ82" t="s">
        <v>260</v>
      </c>
      <c r="PTA82">
        <v>131</v>
      </c>
      <c r="PTB82" t="s">
        <v>261</v>
      </c>
      <c r="PTC82">
        <v>54018</v>
      </c>
      <c r="PTD82">
        <v>0</v>
      </c>
      <c r="PTE82">
        <v>7076358</v>
      </c>
      <c r="PTF82" t="s">
        <v>262</v>
      </c>
      <c r="PTG82" t="s">
        <v>196</v>
      </c>
      <c r="PTH82">
        <v>53248</v>
      </c>
      <c r="PTI82" t="s">
        <v>260</v>
      </c>
      <c r="PTJ82">
        <v>44048</v>
      </c>
      <c r="PTK82">
        <v>44048</v>
      </c>
      <c r="PTL82">
        <v>7076358</v>
      </c>
      <c r="PTM82">
        <v>0</v>
      </c>
      <c r="PTN82" t="s">
        <v>254</v>
      </c>
      <c r="PTO82">
        <v>830037946</v>
      </c>
      <c r="PTP82" t="s">
        <v>260</v>
      </c>
      <c r="PTQ82">
        <v>131</v>
      </c>
      <c r="PTR82" t="s">
        <v>261</v>
      </c>
      <c r="PTS82">
        <v>54018</v>
      </c>
      <c r="PTT82">
        <v>0</v>
      </c>
      <c r="PTU82">
        <v>7076358</v>
      </c>
      <c r="PTV82" t="s">
        <v>262</v>
      </c>
      <c r="PTW82" t="s">
        <v>196</v>
      </c>
      <c r="PTX82">
        <v>53248</v>
      </c>
      <c r="PTY82" t="s">
        <v>260</v>
      </c>
      <c r="PTZ82">
        <v>44048</v>
      </c>
      <c r="PUA82">
        <v>44048</v>
      </c>
      <c r="PUB82">
        <v>7076358</v>
      </c>
      <c r="PUC82">
        <v>0</v>
      </c>
      <c r="PUD82" t="s">
        <v>254</v>
      </c>
      <c r="PUE82">
        <v>830037946</v>
      </c>
      <c r="PUF82" t="s">
        <v>260</v>
      </c>
      <c r="PUG82">
        <v>131</v>
      </c>
      <c r="PUH82" t="s">
        <v>261</v>
      </c>
      <c r="PUI82">
        <v>54018</v>
      </c>
      <c r="PUJ82">
        <v>0</v>
      </c>
      <c r="PUK82">
        <v>7076358</v>
      </c>
      <c r="PUL82" t="s">
        <v>262</v>
      </c>
      <c r="PUM82" t="s">
        <v>196</v>
      </c>
      <c r="PUN82">
        <v>53248</v>
      </c>
      <c r="PUO82" t="s">
        <v>260</v>
      </c>
      <c r="PUP82">
        <v>44048</v>
      </c>
      <c r="PUQ82">
        <v>44048</v>
      </c>
      <c r="PUR82">
        <v>7076358</v>
      </c>
      <c r="PUS82">
        <v>0</v>
      </c>
      <c r="PUT82" t="s">
        <v>254</v>
      </c>
      <c r="PUU82">
        <v>830037946</v>
      </c>
      <c r="PUV82" t="s">
        <v>260</v>
      </c>
      <c r="PUW82">
        <v>131</v>
      </c>
      <c r="PUX82" t="s">
        <v>261</v>
      </c>
      <c r="PUY82">
        <v>54018</v>
      </c>
      <c r="PUZ82">
        <v>0</v>
      </c>
      <c r="PVA82">
        <v>7076358</v>
      </c>
      <c r="PVB82" t="s">
        <v>262</v>
      </c>
      <c r="PVC82" t="s">
        <v>196</v>
      </c>
      <c r="PVD82">
        <v>53248</v>
      </c>
      <c r="PVE82" t="s">
        <v>260</v>
      </c>
      <c r="PVF82">
        <v>44048</v>
      </c>
      <c r="PVG82">
        <v>44048</v>
      </c>
      <c r="PVH82">
        <v>7076358</v>
      </c>
      <c r="PVI82">
        <v>0</v>
      </c>
      <c r="PVJ82" t="s">
        <v>254</v>
      </c>
      <c r="PVK82">
        <v>830037946</v>
      </c>
      <c r="PVL82" t="s">
        <v>260</v>
      </c>
      <c r="PVM82">
        <v>131</v>
      </c>
      <c r="PVN82" t="s">
        <v>261</v>
      </c>
      <c r="PVO82">
        <v>54018</v>
      </c>
      <c r="PVP82">
        <v>0</v>
      </c>
      <c r="PVQ82">
        <v>7076358</v>
      </c>
      <c r="PVR82" t="s">
        <v>262</v>
      </c>
      <c r="PVS82" t="s">
        <v>196</v>
      </c>
      <c r="PVT82">
        <v>53248</v>
      </c>
      <c r="PVU82" t="s">
        <v>260</v>
      </c>
      <c r="PVV82">
        <v>44048</v>
      </c>
      <c r="PVW82">
        <v>44048</v>
      </c>
      <c r="PVX82">
        <v>7076358</v>
      </c>
      <c r="PVY82">
        <v>0</v>
      </c>
      <c r="PVZ82" t="s">
        <v>254</v>
      </c>
      <c r="PWA82">
        <v>830037946</v>
      </c>
      <c r="PWB82" t="s">
        <v>260</v>
      </c>
      <c r="PWC82">
        <v>131</v>
      </c>
      <c r="PWD82" t="s">
        <v>261</v>
      </c>
      <c r="PWE82">
        <v>54018</v>
      </c>
      <c r="PWF82">
        <v>0</v>
      </c>
      <c r="PWG82">
        <v>7076358</v>
      </c>
      <c r="PWH82" t="s">
        <v>262</v>
      </c>
      <c r="PWI82" t="s">
        <v>196</v>
      </c>
      <c r="PWJ82">
        <v>53248</v>
      </c>
      <c r="PWK82" t="s">
        <v>260</v>
      </c>
      <c r="PWL82">
        <v>44048</v>
      </c>
      <c r="PWM82">
        <v>44048</v>
      </c>
      <c r="PWN82">
        <v>7076358</v>
      </c>
      <c r="PWO82">
        <v>0</v>
      </c>
      <c r="PWP82" t="s">
        <v>254</v>
      </c>
      <c r="PWQ82">
        <v>830037946</v>
      </c>
      <c r="PWR82" t="s">
        <v>260</v>
      </c>
      <c r="PWS82">
        <v>131</v>
      </c>
      <c r="PWT82" t="s">
        <v>261</v>
      </c>
      <c r="PWU82">
        <v>54018</v>
      </c>
      <c r="PWV82">
        <v>0</v>
      </c>
      <c r="PWW82">
        <v>7076358</v>
      </c>
      <c r="PWX82" t="s">
        <v>262</v>
      </c>
      <c r="PWY82" t="s">
        <v>196</v>
      </c>
      <c r="PWZ82">
        <v>53248</v>
      </c>
      <c r="PXA82" t="s">
        <v>260</v>
      </c>
      <c r="PXB82">
        <v>44048</v>
      </c>
      <c r="PXC82">
        <v>44048</v>
      </c>
      <c r="PXD82">
        <v>7076358</v>
      </c>
      <c r="PXE82">
        <v>0</v>
      </c>
      <c r="PXF82" t="s">
        <v>254</v>
      </c>
      <c r="PXG82">
        <v>830037946</v>
      </c>
      <c r="PXH82" t="s">
        <v>260</v>
      </c>
      <c r="PXI82">
        <v>131</v>
      </c>
      <c r="PXJ82" t="s">
        <v>261</v>
      </c>
      <c r="PXK82">
        <v>54018</v>
      </c>
      <c r="PXL82">
        <v>0</v>
      </c>
      <c r="PXM82">
        <v>7076358</v>
      </c>
      <c r="PXN82" t="s">
        <v>262</v>
      </c>
      <c r="PXO82" t="s">
        <v>196</v>
      </c>
      <c r="PXP82">
        <v>53248</v>
      </c>
      <c r="PXQ82" t="s">
        <v>260</v>
      </c>
      <c r="PXR82">
        <v>44048</v>
      </c>
      <c r="PXS82">
        <v>44048</v>
      </c>
      <c r="PXT82">
        <v>7076358</v>
      </c>
      <c r="PXU82">
        <v>0</v>
      </c>
      <c r="PXV82" t="s">
        <v>254</v>
      </c>
      <c r="PXW82">
        <v>830037946</v>
      </c>
      <c r="PXX82" t="s">
        <v>260</v>
      </c>
      <c r="PXY82">
        <v>131</v>
      </c>
      <c r="PXZ82" t="s">
        <v>261</v>
      </c>
      <c r="PYA82">
        <v>54018</v>
      </c>
      <c r="PYB82">
        <v>0</v>
      </c>
      <c r="PYC82">
        <v>7076358</v>
      </c>
      <c r="PYD82" t="s">
        <v>262</v>
      </c>
      <c r="PYE82" t="s">
        <v>196</v>
      </c>
      <c r="PYF82">
        <v>53248</v>
      </c>
      <c r="PYG82" t="s">
        <v>260</v>
      </c>
      <c r="PYH82">
        <v>44048</v>
      </c>
      <c r="PYI82">
        <v>44048</v>
      </c>
      <c r="PYJ82">
        <v>7076358</v>
      </c>
      <c r="PYK82">
        <v>0</v>
      </c>
      <c r="PYL82" t="s">
        <v>254</v>
      </c>
      <c r="PYM82">
        <v>830037946</v>
      </c>
      <c r="PYN82" t="s">
        <v>260</v>
      </c>
      <c r="PYO82">
        <v>131</v>
      </c>
      <c r="PYP82" t="s">
        <v>261</v>
      </c>
      <c r="PYQ82">
        <v>54018</v>
      </c>
      <c r="PYR82">
        <v>0</v>
      </c>
      <c r="PYS82">
        <v>7076358</v>
      </c>
      <c r="PYT82" t="s">
        <v>262</v>
      </c>
      <c r="PYU82" t="s">
        <v>196</v>
      </c>
      <c r="PYV82">
        <v>53248</v>
      </c>
      <c r="PYW82" t="s">
        <v>260</v>
      </c>
      <c r="PYX82">
        <v>44048</v>
      </c>
      <c r="PYY82">
        <v>44048</v>
      </c>
      <c r="PYZ82">
        <v>7076358</v>
      </c>
      <c r="PZA82">
        <v>0</v>
      </c>
      <c r="PZB82" t="s">
        <v>254</v>
      </c>
      <c r="PZC82">
        <v>830037946</v>
      </c>
      <c r="PZD82" t="s">
        <v>260</v>
      </c>
      <c r="PZE82">
        <v>131</v>
      </c>
      <c r="PZF82" t="s">
        <v>261</v>
      </c>
      <c r="PZG82">
        <v>54018</v>
      </c>
      <c r="PZH82">
        <v>0</v>
      </c>
      <c r="PZI82">
        <v>7076358</v>
      </c>
      <c r="PZJ82" t="s">
        <v>262</v>
      </c>
      <c r="PZK82" t="s">
        <v>196</v>
      </c>
      <c r="PZL82">
        <v>53248</v>
      </c>
      <c r="PZM82" t="s">
        <v>260</v>
      </c>
      <c r="PZN82">
        <v>44048</v>
      </c>
      <c r="PZO82">
        <v>44048</v>
      </c>
      <c r="PZP82">
        <v>7076358</v>
      </c>
      <c r="PZQ82">
        <v>0</v>
      </c>
      <c r="PZR82" t="s">
        <v>254</v>
      </c>
      <c r="PZS82">
        <v>830037946</v>
      </c>
      <c r="PZT82" t="s">
        <v>260</v>
      </c>
      <c r="PZU82">
        <v>131</v>
      </c>
      <c r="PZV82" t="s">
        <v>261</v>
      </c>
      <c r="PZW82">
        <v>54018</v>
      </c>
      <c r="PZX82">
        <v>0</v>
      </c>
      <c r="PZY82">
        <v>7076358</v>
      </c>
      <c r="PZZ82" t="s">
        <v>262</v>
      </c>
      <c r="QAA82" t="s">
        <v>196</v>
      </c>
      <c r="QAB82">
        <v>53248</v>
      </c>
      <c r="QAC82" t="s">
        <v>260</v>
      </c>
      <c r="QAD82">
        <v>44048</v>
      </c>
      <c r="QAE82">
        <v>44048</v>
      </c>
      <c r="QAF82">
        <v>7076358</v>
      </c>
      <c r="QAG82">
        <v>0</v>
      </c>
      <c r="QAH82" t="s">
        <v>254</v>
      </c>
      <c r="QAI82">
        <v>830037946</v>
      </c>
      <c r="QAJ82" t="s">
        <v>260</v>
      </c>
      <c r="QAK82">
        <v>131</v>
      </c>
      <c r="QAL82" t="s">
        <v>261</v>
      </c>
      <c r="QAM82">
        <v>54018</v>
      </c>
      <c r="QAN82">
        <v>0</v>
      </c>
      <c r="QAO82">
        <v>7076358</v>
      </c>
      <c r="QAP82" t="s">
        <v>262</v>
      </c>
      <c r="QAQ82" t="s">
        <v>196</v>
      </c>
      <c r="QAR82">
        <v>53248</v>
      </c>
      <c r="QAS82" t="s">
        <v>260</v>
      </c>
      <c r="QAT82">
        <v>44048</v>
      </c>
      <c r="QAU82">
        <v>44048</v>
      </c>
      <c r="QAV82">
        <v>7076358</v>
      </c>
      <c r="QAW82">
        <v>0</v>
      </c>
      <c r="QAX82" t="s">
        <v>254</v>
      </c>
      <c r="QAY82">
        <v>830037946</v>
      </c>
      <c r="QAZ82" t="s">
        <v>260</v>
      </c>
      <c r="QBA82">
        <v>131</v>
      </c>
      <c r="QBB82" t="s">
        <v>261</v>
      </c>
      <c r="QBC82">
        <v>54018</v>
      </c>
      <c r="QBD82">
        <v>0</v>
      </c>
      <c r="QBE82">
        <v>7076358</v>
      </c>
      <c r="QBF82" t="s">
        <v>262</v>
      </c>
      <c r="QBG82" t="s">
        <v>196</v>
      </c>
      <c r="QBH82">
        <v>53248</v>
      </c>
      <c r="QBI82" t="s">
        <v>260</v>
      </c>
      <c r="QBJ82">
        <v>44048</v>
      </c>
      <c r="QBK82">
        <v>44048</v>
      </c>
      <c r="QBL82">
        <v>7076358</v>
      </c>
      <c r="QBM82">
        <v>0</v>
      </c>
      <c r="QBN82" t="s">
        <v>254</v>
      </c>
      <c r="QBO82">
        <v>830037946</v>
      </c>
      <c r="QBP82" t="s">
        <v>260</v>
      </c>
      <c r="QBQ82">
        <v>131</v>
      </c>
      <c r="QBR82" t="s">
        <v>261</v>
      </c>
      <c r="QBS82">
        <v>54018</v>
      </c>
      <c r="QBT82">
        <v>0</v>
      </c>
      <c r="QBU82">
        <v>7076358</v>
      </c>
      <c r="QBV82" t="s">
        <v>262</v>
      </c>
      <c r="QBW82" t="s">
        <v>196</v>
      </c>
      <c r="QBX82">
        <v>53248</v>
      </c>
      <c r="QBY82" t="s">
        <v>260</v>
      </c>
      <c r="QBZ82">
        <v>44048</v>
      </c>
      <c r="QCA82">
        <v>44048</v>
      </c>
      <c r="QCB82">
        <v>7076358</v>
      </c>
      <c r="QCC82">
        <v>0</v>
      </c>
      <c r="QCD82" t="s">
        <v>254</v>
      </c>
      <c r="QCE82">
        <v>830037946</v>
      </c>
      <c r="QCF82" t="s">
        <v>260</v>
      </c>
      <c r="QCG82">
        <v>131</v>
      </c>
      <c r="QCH82" t="s">
        <v>261</v>
      </c>
      <c r="QCI82">
        <v>54018</v>
      </c>
      <c r="QCJ82">
        <v>0</v>
      </c>
      <c r="QCK82">
        <v>7076358</v>
      </c>
      <c r="QCL82" t="s">
        <v>262</v>
      </c>
      <c r="QCM82" t="s">
        <v>196</v>
      </c>
      <c r="QCN82">
        <v>53248</v>
      </c>
      <c r="QCO82" t="s">
        <v>260</v>
      </c>
      <c r="QCP82">
        <v>44048</v>
      </c>
      <c r="QCQ82">
        <v>44048</v>
      </c>
      <c r="QCR82">
        <v>7076358</v>
      </c>
      <c r="QCS82">
        <v>0</v>
      </c>
      <c r="QCT82" t="s">
        <v>254</v>
      </c>
      <c r="QCU82">
        <v>830037946</v>
      </c>
      <c r="QCV82" t="s">
        <v>260</v>
      </c>
      <c r="QCW82">
        <v>131</v>
      </c>
      <c r="QCX82" t="s">
        <v>261</v>
      </c>
      <c r="QCY82">
        <v>54018</v>
      </c>
      <c r="QCZ82">
        <v>0</v>
      </c>
      <c r="QDA82">
        <v>7076358</v>
      </c>
      <c r="QDB82" t="s">
        <v>262</v>
      </c>
      <c r="QDC82" t="s">
        <v>196</v>
      </c>
      <c r="QDD82">
        <v>53248</v>
      </c>
      <c r="QDE82" t="s">
        <v>260</v>
      </c>
      <c r="QDF82">
        <v>44048</v>
      </c>
      <c r="QDG82">
        <v>44048</v>
      </c>
      <c r="QDH82">
        <v>7076358</v>
      </c>
      <c r="QDI82">
        <v>0</v>
      </c>
      <c r="QDJ82" t="s">
        <v>254</v>
      </c>
      <c r="QDK82">
        <v>830037946</v>
      </c>
      <c r="QDL82" t="s">
        <v>260</v>
      </c>
      <c r="QDM82">
        <v>131</v>
      </c>
      <c r="QDN82" t="s">
        <v>261</v>
      </c>
      <c r="QDO82">
        <v>54018</v>
      </c>
      <c r="QDP82">
        <v>0</v>
      </c>
      <c r="QDQ82">
        <v>7076358</v>
      </c>
      <c r="QDR82" t="s">
        <v>262</v>
      </c>
      <c r="QDS82" t="s">
        <v>196</v>
      </c>
      <c r="QDT82">
        <v>53248</v>
      </c>
      <c r="QDU82" t="s">
        <v>260</v>
      </c>
      <c r="QDV82">
        <v>44048</v>
      </c>
      <c r="QDW82">
        <v>44048</v>
      </c>
      <c r="QDX82">
        <v>7076358</v>
      </c>
      <c r="QDY82">
        <v>0</v>
      </c>
      <c r="QDZ82" t="s">
        <v>254</v>
      </c>
      <c r="QEA82">
        <v>830037946</v>
      </c>
      <c r="QEB82" t="s">
        <v>260</v>
      </c>
      <c r="QEC82">
        <v>131</v>
      </c>
      <c r="QED82" t="s">
        <v>261</v>
      </c>
      <c r="QEE82">
        <v>54018</v>
      </c>
      <c r="QEF82">
        <v>0</v>
      </c>
      <c r="QEG82">
        <v>7076358</v>
      </c>
      <c r="QEH82" t="s">
        <v>262</v>
      </c>
      <c r="QEI82" t="s">
        <v>196</v>
      </c>
      <c r="QEJ82">
        <v>53248</v>
      </c>
      <c r="QEK82" t="s">
        <v>260</v>
      </c>
      <c r="QEL82">
        <v>44048</v>
      </c>
      <c r="QEM82">
        <v>44048</v>
      </c>
      <c r="QEN82">
        <v>7076358</v>
      </c>
      <c r="QEO82">
        <v>0</v>
      </c>
      <c r="QEP82" t="s">
        <v>254</v>
      </c>
      <c r="QEQ82">
        <v>830037946</v>
      </c>
      <c r="QER82" t="s">
        <v>260</v>
      </c>
      <c r="QES82">
        <v>131</v>
      </c>
      <c r="QET82" t="s">
        <v>261</v>
      </c>
      <c r="QEU82">
        <v>54018</v>
      </c>
      <c r="QEV82">
        <v>0</v>
      </c>
      <c r="QEW82">
        <v>7076358</v>
      </c>
      <c r="QEX82" t="s">
        <v>262</v>
      </c>
      <c r="QEY82" t="s">
        <v>196</v>
      </c>
      <c r="QEZ82">
        <v>53248</v>
      </c>
      <c r="QFA82" t="s">
        <v>260</v>
      </c>
      <c r="QFB82">
        <v>44048</v>
      </c>
      <c r="QFC82">
        <v>44048</v>
      </c>
      <c r="QFD82">
        <v>7076358</v>
      </c>
      <c r="QFE82">
        <v>0</v>
      </c>
      <c r="QFF82" t="s">
        <v>254</v>
      </c>
      <c r="QFG82">
        <v>830037946</v>
      </c>
      <c r="QFH82" t="s">
        <v>260</v>
      </c>
      <c r="QFI82">
        <v>131</v>
      </c>
      <c r="QFJ82" t="s">
        <v>261</v>
      </c>
      <c r="QFK82">
        <v>54018</v>
      </c>
      <c r="QFL82">
        <v>0</v>
      </c>
      <c r="QFM82">
        <v>7076358</v>
      </c>
      <c r="QFN82" t="s">
        <v>262</v>
      </c>
      <c r="QFO82" t="s">
        <v>196</v>
      </c>
      <c r="QFP82">
        <v>53248</v>
      </c>
      <c r="QFQ82" t="s">
        <v>260</v>
      </c>
      <c r="QFR82">
        <v>44048</v>
      </c>
      <c r="QFS82">
        <v>44048</v>
      </c>
      <c r="QFT82">
        <v>7076358</v>
      </c>
      <c r="QFU82">
        <v>0</v>
      </c>
      <c r="QFV82" t="s">
        <v>254</v>
      </c>
      <c r="QFW82">
        <v>830037946</v>
      </c>
      <c r="QFX82" t="s">
        <v>260</v>
      </c>
      <c r="QFY82">
        <v>131</v>
      </c>
      <c r="QFZ82" t="s">
        <v>261</v>
      </c>
      <c r="QGA82">
        <v>54018</v>
      </c>
      <c r="QGB82">
        <v>0</v>
      </c>
      <c r="QGC82">
        <v>7076358</v>
      </c>
      <c r="QGD82" t="s">
        <v>262</v>
      </c>
      <c r="QGE82" t="s">
        <v>196</v>
      </c>
      <c r="QGF82">
        <v>53248</v>
      </c>
      <c r="QGG82" t="s">
        <v>260</v>
      </c>
      <c r="QGH82">
        <v>44048</v>
      </c>
      <c r="QGI82">
        <v>44048</v>
      </c>
      <c r="QGJ82">
        <v>7076358</v>
      </c>
      <c r="QGK82">
        <v>0</v>
      </c>
      <c r="QGL82" t="s">
        <v>254</v>
      </c>
      <c r="QGM82">
        <v>830037946</v>
      </c>
      <c r="QGN82" t="s">
        <v>260</v>
      </c>
      <c r="QGO82">
        <v>131</v>
      </c>
      <c r="QGP82" t="s">
        <v>261</v>
      </c>
      <c r="QGQ82">
        <v>54018</v>
      </c>
      <c r="QGR82">
        <v>0</v>
      </c>
      <c r="QGS82">
        <v>7076358</v>
      </c>
      <c r="QGT82" t="s">
        <v>262</v>
      </c>
      <c r="QGU82" t="s">
        <v>196</v>
      </c>
      <c r="QGV82">
        <v>53248</v>
      </c>
      <c r="QGW82" t="s">
        <v>260</v>
      </c>
      <c r="QGX82">
        <v>44048</v>
      </c>
      <c r="QGY82">
        <v>44048</v>
      </c>
      <c r="QGZ82">
        <v>7076358</v>
      </c>
      <c r="QHA82">
        <v>0</v>
      </c>
      <c r="QHB82" t="s">
        <v>254</v>
      </c>
      <c r="QHC82">
        <v>830037946</v>
      </c>
      <c r="QHD82" t="s">
        <v>260</v>
      </c>
      <c r="QHE82">
        <v>131</v>
      </c>
      <c r="QHF82" t="s">
        <v>261</v>
      </c>
      <c r="QHG82">
        <v>54018</v>
      </c>
      <c r="QHH82">
        <v>0</v>
      </c>
      <c r="QHI82">
        <v>7076358</v>
      </c>
      <c r="QHJ82" t="s">
        <v>262</v>
      </c>
      <c r="QHK82" t="s">
        <v>196</v>
      </c>
      <c r="QHL82">
        <v>53248</v>
      </c>
      <c r="QHM82" t="s">
        <v>260</v>
      </c>
      <c r="QHN82">
        <v>44048</v>
      </c>
      <c r="QHO82">
        <v>44048</v>
      </c>
      <c r="QHP82">
        <v>7076358</v>
      </c>
      <c r="QHQ82">
        <v>0</v>
      </c>
      <c r="QHR82" t="s">
        <v>254</v>
      </c>
      <c r="QHS82">
        <v>830037946</v>
      </c>
      <c r="QHT82" t="s">
        <v>260</v>
      </c>
      <c r="QHU82">
        <v>131</v>
      </c>
      <c r="QHV82" t="s">
        <v>261</v>
      </c>
      <c r="QHW82">
        <v>54018</v>
      </c>
      <c r="QHX82">
        <v>0</v>
      </c>
      <c r="QHY82">
        <v>7076358</v>
      </c>
      <c r="QHZ82" t="s">
        <v>262</v>
      </c>
      <c r="QIA82" t="s">
        <v>196</v>
      </c>
      <c r="QIB82">
        <v>53248</v>
      </c>
      <c r="QIC82" t="s">
        <v>260</v>
      </c>
      <c r="QID82">
        <v>44048</v>
      </c>
      <c r="QIE82">
        <v>44048</v>
      </c>
      <c r="QIF82">
        <v>7076358</v>
      </c>
      <c r="QIG82">
        <v>0</v>
      </c>
      <c r="QIH82" t="s">
        <v>254</v>
      </c>
      <c r="QII82">
        <v>830037946</v>
      </c>
      <c r="QIJ82" t="s">
        <v>260</v>
      </c>
      <c r="QIK82">
        <v>131</v>
      </c>
      <c r="QIL82" t="s">
        <v>261</v>
      </c>
      <c r="QIM82">
        <v>54018</v>
      </c>
      <c r="QIN82">
        <v>0</v>
      </c>
      <c r="QIO82">
        <v>7076358</v>
      </c>
      <c r="QIP82" t="s">
        <v>262</v>
      </c>
      <c r="QIQ82" t="s">
        <v>196</v>
      </c>
      <c r="QIR82">
        <v>53248</v>
      </c>
      <c r="QIS82" t="s">
        <v>260</v>
      </c>
      <c r="QIT82">
        <v>44048</v>
      </c>
      <c r="QIU82">
        <v>44048</v>
      </c>
      <c r="QIV82">
        <v>7076358</v>
      </c>
      <c r="QIW82">
        <v>0</v>
      </c>
      <c r="QIX82" t="s">
        <v>254</v>
      </c>
      <c r="QIY82">
        <v>830037946</v>
      </c>
      <c r="QIZ82" t="s">
        <v>260</v>
      </c>
      <c r="QJA82">
        <v>131</v>
      </c>
      <c r="QJB82" t="s">
        <v>261</v>
      </c>
      <c r="QJC82">
        <v>54018</v>
      </c>
      <c r="QJD82">
        <v>0</v>
      </c>
      <c r="QJE82">
        <v>7076358</v>
      </c>
      <c r="QJF82" t="s">
        <v>262</v>
      </c>
      <c r="QJG82" t="s">
        <v>196</v>
      </c>
      <c r="QJH82">
        <v>53248</v>
      </c>
      <c r="QJI82" t="s">
        <v>260</v>
      </c>
      <c r="QJJ82">
        <v>44048</v>
      </c>
      <c r="QJK82">
        <v>44048</v>
      </c>
      <c r="QJL82">
        <v>7076358</v>
      </c>
      <c r="QJM82">
        <v>0</v>
      </c>
      <c r="QJN82" t="s">
        <v>254</v>
      </c>
      <c r="QJO82">
        <v>830037946</v>
      </c>
      <c r="QJP82" t="s">
        <v>260</v>
      </c>
      <c r="QJQ82">
        <v>131</v>
      </c>
      <c r="QJR82" t="s">
        <v>261</v>
      </c>
      <c r="QJS82">
        <v>54018</v>
      </c>
      <c r="QJT82">
        <v>0</v>
      </c>
      <c r="QJU82">
        <v>7076358</v>
      </c>
      <c r="QJV82" t="s">
        <v>262</v>
      </c>
      <c r="QJW82" t="s">
        <v>196</v>
      </c>
      <c r="QJX82">
        <v>53248</v>
      </c>
      <c r="QJY82" t="s">
        <v>260</v>
      </c>
      <c r="QJZ82">
        <v>44048</v>
      </c>
      <c r="QKA82">
        <v>44048</v>
      </c>
      <c r="QKB82">
        <v>7076358</v>
      </c>
      <c r="QKC82">
        <v>0</v>
      </c>
      <c r="QKD82" t="s">
        <v>254</v>
      </c>
      <c r="QKE82">
        <v>830037946</v>
      </c>
      <c r="QKF82" t="s">
        <v>260</v>
      </c>
      <c r="QKG82">
        <v>131</v>
      </c>
      <c r="QKH82" t="s">
        <v>261</v>
      </c>
      <c r="QKI82">
        <v>54018</v>
      </c>
      <c r="QKJ82">
        <v>0</v>
      </c>
      <c r="QKK82">
        <v>7076358</v>
      </c>
      <c r="QKL82" t="s">
        <v>262</v>
      </c>
      <c r="QKM82" t="s">
        <v>196</v>
      </c>
      <c r="QKN82">
        <v>53248</v>
      </c>
      <c r="QKO82" t="s">
        <v>260</v>
      </c>
      <c r="QKP82">
        <v>44048</v>
      </c>
      <c r="QKQ82">
        <v>44048</v>
      </c>
      <c r="QKR82">
        <v>7076358</v>
      </c>
      <c r="QKS82">
        <v>0</v>
      </c>
      <c r="QKT82" t="s">
        <v>254</v>
      </c>
      <c r="QKU82">
        <v>830037946</v>
      </c>
      <c r="QKV82" t="s">
        <v>260</v>
      </c>
      <c r="QKW82">
        <v>131</v>
      </c>
      <c r="QKX82" t="s">
        <v>261</v>
      </c>
      <c r="QKY82">
        <v>54018</v>
      </c>
      <c r="QKZ82">
        <v>0</v>
      </c>
      <c r="QLA82">
        <v>7076358</v>
      </c>
      <c r="QLB82" t="s">
        <v>262</v>
      </c>
      <c r="QLC82" t="s">
        <v>196</v>
      </c>
      <c r="QLD82">
        <v>53248</v>
      </c>
      <c r="QLE82" t="s">
        <v>260</v>
      </c>
      <c r="QLF82">
        <v>44048</v>
      </c>
      <c r="QLG82">
        <v>44048</v>
      </c>
      <c r="QLH82">
        <v>7076358</v>
      </c>
      <c r="QLI82">
        <v>0</v>
      </c>
      <c r="QLJ82" t="s">
        <v>254</v>
      </c>
      <c r="QLK82">
        <v>830037946</v>
      </c>
      <c r="QLL82" t="s">
        <v>260</v>
      </c>
      <c r="QLM82">
        <v>131</v>
      </c>
      <c r="QLN82" t="s">
        <v>261</v>
      </c>
      <c r="QLO82">
        <v>54018</v>
      </c>
      <c r="QLP82">
        <v>0</v>
      </c>
      <c r="QLQ82">
        <v>7076358</v>
      </c>
      <c r="QLR82" t="s">
        <v>262</v>
      </c>
      <c r="QLS82" t="s">
        <v>196</v>
      </c>
      <c r="QLT82">
        <v>53248</v>
      </c>
      <c r="QLU82" t="s">
        <v>260</v>
      </c>
      <c r="QLV82">
        <v>44048</v>
      </c>
      <c r="QLW82">
        <v>44048</v>
      </c>
      <c r="QLX82">
        <v>7076358</v>
      </c>
      <c r="QLY82">
        <v>0</v>
      </c>
      <c r="QLZ82" t="s">
        <v>254</v>
      </c>
      <c r="QMA82">
        <v>830037946</v>
      </c>
      <c r="QMB82" t="s">
        <v>260</v>
      </c>
      <c r="QMC82">
        <v>131</v>
      </c>
      <c r="QMD82" t="s">
        <v>261</v>
      </c>
      <c r="QME82">
        <v>54018</v>
      </c>
      <c r="QMF82">
        <v>0</v>
      </c>
      <c r="QMG82">
        <v>7076358</v>
      </c>
      <c r="QMH82" t="s">
        <v>262</v>
      </c>
      <c r="QMI82" t="s">
        <v>196</v>
      </c>
      <c r="QMJ82">
        <v>53248</v>
      </c>
      <c r="QMK82" t="s">
        <v>260</v>
      </c>
      <c r="QML82">
        <v>44048</v>
      </c>
      <c r="QMM82">
        <v>44048</v>
      </c>
      <c r="QMN82">
        <v>7076358</v>
      </c>
      <c r="QMO82">
        <v>0</v>
      </c>
      <c r="QMP82" t="s">
        <v>254</v>
      </c>
      <c r="QMQ82">
        <v>830037946</v>
      </c>
      <c r="QMR82" t="s">
        <v>260</v>
      </c>
      <c r="QMS82">
        <v>131</v>
      </c>
      <c r="QMT82" t="s">
        <v>261</v>
      </c>
      <c r="QMU82">
        <v>54018</v>
      </c>
      <c r="QMV82">
        <v>0</v>
      </c>
      <c r="QMW82">
        <v>7076358</v>
      </c>
      <c r="QMX82" t="s">
        <v>262</v>
      </c>
      <c r="QMY82" t="s">
        <v>196</v>
      </c>
      <c r="QMZ82">
        <v>53248</v>
      </c>
      <c r="QNA82" t="s">
        <v>260</v>
      </c>
      <c r="QNB82">
        <v>44048</v>
      </c>
      <c r="QNC82">
        <v>44048</v>
      </c>
      <c r="QND82">
        <v>7076358</v>
      </c>
      <c r="QNE82">
        <v>0</v>
      </c>
      <c r="QNF82" t="s">
        <v>254</v>
      </c>
      <c r="QNG82">
        <v>830037946</v>
      </c>
      <c r="QNH82" t="s">
        <v>260</v>
      </c>
      <c r="QNI82">
        <v>131</v>
      </c>
      <c r="QNJ82" t="s">
        <v>261</v>
      </c>
      <c r="QNK82">
        <v>54018</v>
      </c>
      <c r="QNL82">
        <v>0</v>
      </c>
      <c r="QNM82">
        <v>7076358</v>
      </c>
      <c r="QNN82" t="s">
        <v>262</v>
      </c>
      <c r="QNO82" t="s">
        <v>196</v>
      </c>
      <c r="QNP82">
        <v>53248</v>
      </c>
      <c r="QNQ82" t="s">
        <v>260</v>
      </c>
      <c r="QNR82">
        <v>44048</v>
      </c>
      <c r="QNS82">
        <v>44048</v>
      </c>
      <c r="QNT82">
        <v>7076358</v>
      </c>
      <c r="QNU82">
        <v>0</v>
      </c>
      <c r="QNV82" t="s">
        <v>254</v>
      </c>
      <c r="QNW82">
        <v>830037946</v>
      </c>
      <c r="QNX82" t="s">
        <v>260</v>
      </c>
      <c r="QNY82">
        <v>131</v>
      </c>
      <c r="QNZ82" t="s">
        <v>261</v>
      </c>
      <c r="QOA82">
        <v>54018</v>
      </c>
      <c r="QOB82">
        <v>0</v>
      </c>
      <c r="QOC82">
        <v>7076358</v>
      </c>
      <c r="QOD82" t="s">
        <v>262</v>
      </c>
      <c r="QOE82" t="s">
        <v>196</v>
      </c>
      <c r="QOF82">
        <v>53248</v>
      </c>
      <c r="QOG82" t="s">
        <v>260</v>
      </c>
      <c r="QOH82">
        <v>44048</v>
      </c>
      <c r="QOI82">
        <v>44048</v>
      </c>
      <c r="QOJ82">
        <v>7076358</v>
      </c>
      <c r="QOK82">
        <v>0</v>
      </c>
      <c r="QOL82" t="s">
        <v>254</v>
      </c>
      <c r="QOM82">
        <v>830037946</v>
      </c>
      <c r="QON82" t="s">
        <v>260</v>
      </c>
      <c r="QOO82">
        <v>131</v>
      </c>
      <c r="QOP82" t="s">
        <v>261</v>
      </c>
      <c r="QOQ82">
        <v>54018</v>
      </c>
      <c r="QOR82">
        <v>0</v>
      </c>
      <c r="QOS82">
        <v>7076358</v>
      </c>
      <c r="QOT82" t="s">
        <v>262</v>
      </c>
      <c r="QOU82" t="s">
        <v>196</v>
      </c>
      <c r="QOV82">
        <v>53248</v>
      </c>
      <c r="QOW82" t="s">
        <v>260</v>
      </c>
      <c r="QOX82">
        <v>44048</v>
      </c>
      <c r="QOY82">
        <v>44048</v>
      </c>
      <c r="QOZ82">
        <v>7076358</v>
      </c>
      <c r="QPA82">
        <v>0</v>
      </c>
      <c r="QPB82" t="s">
        <v>254</v>
      </c>
      <c r="QPC82">
        <v>830037946</v>
      </c>
      <c r="QPD82" t="s">
        <v>260</v>
      </c>
      <c r="QPE82">
        <v>131</v>
      </c>
      <c r="QPF82" t="s">
        <v>261</v>
      </c>
      <c r="QPG82">
        <v>54018</v>
      </c>
      <c r="QPH82">
        <v>0</v>
      </c>
      <c r="QPI82">
        <v>7076358</v>
      </c>
      <c r="QPJ82" t="s">
        <v>262</v>
      </c>
      <c r="QPK82" t="s">
        <v>196</v>
      </c>
      <c r="QPL82">
        <v>53248</v>
      </c>
      <c r="QPM82" t="s">
        <v>260</v>
      </c>
      <c r="QPN82">
        <v>44048</v>
      </c>
      <c r="QPO82">
        <v>44048</v>
      </c>
      <c r="QPP82">
        <v>7076358</v>
      </c>
      <c r="QPQ82">
        <v>0</v>
      </c>
      <c r="QPR82" t="s">
        <v>254</v>
      </c>
      <c r="QPS82">
        <v>830037946</v>
      </c>
      <c r="QPT82" t="s">
        <v>260</v>
      </c>
      <c r="QPU82">
        <v>131</v>
      </c>
      <c r="QPV82" t="s">
        <v>261</v>
      </c>
      <c r="QPW82">
        <v>54018</v>
      </c>
      <c r="QPX82">
        <v>0</v>
      </c>
      <c r="QPY82">
        <v>7076358</v>
      </c>
      <c r="QPZ82" t="s">
        <v>262</v>
      </c>
      <c r="QQA82" t="s">
        <v>196</v>
      </c>
      <c r="QQB82">
        <v>53248</v>
      </c>
      <c r="QQC82" t="s">
        <v>260</v>
      </c>
      <c r="QQD82">
        <v>44048</v>
      </c>
      <c r="QQE82">
        <v>44048</v>
      </c>
      <c r="QQF82">
        <v>7076358</v>
      </c>
      <c r="QQG82">
        <v>0</v>
      </c>
      <c r="QQH82" t="s">
        <v>254</v>
      </c>
      <c r="QQI82">
        <v>830037946</v>
      </c>
      <c r="QQJ82" t="s">
        <v>260</v>
      </c>
      <c r="QQK82">
        <v>131</v>
      </c>
      <c r="QQL82" t="s">
        <v>261</v>
      </c>
      <c r="QQM82">
        <v>54018</v>
      </c>
      <c r="QQN82">
        <v>0</v>
      </c>
      <c r="QQO82">
        <v>7076358</v>
      </c>
      <c r="QQP82" t="s">
        <v>262</v>
      </c>
      <c r="QQQ82" t="s">
        <v>196</v>
      </c>
      <c r="QQR82">
        <v>53248</v>
      </c>
      <c r="QQS82" t="s">
        <v>260</v>
      </c>
      <c r="QQT82">
        <v>44048</v>
      </c>
      <c r="QQU82">
        <v>44048</v>
      </c>
      <c r="QQV82">
        <v>7076358</v>
      </c>
      <c r="QQW82">
        <v>0</v>
      </c>
      <c r="QQX82" t="s">
        <v>254</v>
      </c>
      <c r="QQY82">
        <v>830037946</v>
      </c>
      <c r="QQZ82" t="s">
        <v>260</v>
      </c>
      <c r="QRA82">
        <v>131</v>
      </c>
      <c r="QRB82" t="s">
        <v>261</v>
      </c>
      <c r="QRC82">
        <v>54018</v>
      </c>
      <c r="QRD82">
        <v>0</v>
      </c>
      <c r="QRE82">
        <v>7076358</v>
      </c>
      <c r="QRF82" t="s">
        <v>262</v>
      </c>
      <c r="QRG82" t="s">
        <v>196</v>
      </c>
      <c r="QRH82">
        <v>53248</v>
      </c>
      <c r="QRI82" t="s">
        <v>260</v>
      </c>
      <c r="QRJ82">
        <v>44048</v>
      </c>
      <c r="QRK82">
        <v>44048</v>
      </c>
      <c r="QRL82">
        <v>7076358</v>
      </c>
      <c r="QRM82">
        <v>0</v>
      </c>
      <c r="QRN82" t="s">
        <v>254</v>
      </c>
      <c r="QRO82">
        <v>830037946</v>
      </c>
      <c r="QRP82" t="s">
        <v>260</v>
      </c>
      <c r="QRQ82">
        <v>131</v>
      </c>
      <c r="QRR82" t="s">
        <v>261</v>
      </c>
      <c r="QRS82">
        <v>54018</v>
      </c>
      <c r="QRT82">
        <v>0</v>
      </c>
      <c r="QRU82">
        <v>7076358</v>
      </c>
      <c r="QRV82" t="s">
        <v>262</v>
      </c>
      <c r="QRW82" t="s">
        <v>196</v>
      </c>
      <c r="QRX82">
        <v>53248</v>
      </c>
      <c r="QRY82" t="s">
        <v>260</v>
      </c>
      <c r="QRZ82">
        <v>44048</v>
      </c>
      <c r="QSA82">
        <v>44048</v>
      </c>
      <c r="QSB82">
        <v>7076358</v>
      </c>
      <c r="QSC82">
        <v>0</v>
      </c>
      <c r="QSD82" t="s">
        <v>254</v>
      </c>
      <c r="QSE82">
        <v>830037946</v>
      </c>
      <c r="QSF82" t="s">
        <v>260</v>
      </c>
      <c r="QSG82">
        <v>131</v>
      </c>
      <c r="QSH82" t="s">
        <v>261</v>
      </c>
      <c r="QSI82">
        <v>54018</v>
      </c>
      <c r="QSJ82">
        <v>0</v>
      </c>
      <c r="QSK82">
        <v>7076358</v>
      </c>
      <c r="QSL82" t="s">
        <v>262</v>
      </c>
      <c r="QSM82" t="s">
        <v>196</v>
      </c>
      <c r="QSN82">
        <v>53248</v>
      </c>
      <c r="QSO82" t="s">
        <v>260</v>
      </c>
      <c r="QSP82">
        <v>44048</v>
      </c>
      <c r="QSQ82">
        <v>44048</v>
      </c>
      <c r="QSR82">
        <v>7076358</v>
      </c>
      <c r="QSS82">
        <v>0</v>
      </c>
      <c r="QST82" t="s">
        <v>254</v>
      </c>
      <c r="QSU82">
        <v>830037946</v>
      </c>
      <c r="QSV82" t="s">
        <v>260</v>
      </c>
      <c r="QSW82">
        <v>131</v>
      </c>
      <c r="QSX82" t="s">
        <v>261</v>
      </c>
      <c r="QSY82">
        <v>54018</v>
      </c>
      <c r="QSZ82">
        <v>0</v>
      </c>
      <c r="QTA82">
        <v>7076358</v>
      </c>
      <c r="QTB82" t="s">
        <v>262</v>
      </c>
      <c r="QTC82" t="s">
        <v>196</v>
      </c>
      <c r="QTD82">
        <v>53248</v>
      </c>
      <c r="QTE82" t="s">
        <v>260</v>
      </c>
      <c r="QTF82">
        <v>44048</v>
      </c>
      <c r="QTG82">
        <v>44048</v>
      </c>
      <c r="QTH82">
        <v>7076358</v>
      </c>
      <c r="QTI82">
        <v>0</v>
      </c>
      <c r="QTJ82" t="s">
        <v>254</v>
      </c>
      <c r="QTK82">
        <v>830037946</v>
      </c>
      <c r="QTL82" t="s">
        <v>260</v>
      </c>
      <c r="QTM82">
        <v>131</v>
      </c>
      <c r="QTN82" t="s">
        <v>261</v>
      </c>
      <c r="QTO82">
        <v>54018</v>
      </c>
      <c r="QTP82">
        <v>0</v>
      </c>
      <c r="QTQ82">
        <v>7076358</v>
      </c>
      <c r="QTR82" t="s">
        <v>262</v>
      </c>
      <c r="QTS82" t="s">
        <v>196</v>
      </c>
      <c r="QTT82">
        <v>53248</v>
      </c>
      <c r="QTU82" t="s">
        <v>260</v>
      </c>
      <c r="QTV82">
        <v>44048</v>
      </c>
      <c r="QTW82">
        <v>44048</v>
      </c>
      <c r="QTX82">
        <v>7076358</v>
      </c>
      <c r="QTY82">
        <v>0</v>
      </c>
      <c r="QTZ82" t="s">
        <v>254</v>
      </c>
      <c r="QUA82">
        <v>830037946</v>
      </c>
      <c r="QUB82" t="s">
        <v>260</v>
      </c>
      <c r="QUC82">
        <v>131</v>
      </c>
      <c r="QUD82" t="s">
        <v>261</v>
      </c>
      <c r="QUE82">
        <v>54018</v>
      </c>
      <c r="QUF82">
        <v>0</v>
      </c>
      <c r="QUG82">
        <v>7076358</v>
      </c>
      <c r="QUH82" t="s">
        <v>262</v>
      </c>
      <c r="QUI82" t="s">
        <v>196</v>
      </c>
      <c r="QUJ82">
        <v>53248</v>
      </c>
      <c r="QUK82" t="s">
        <v>260</v>
      </c>
      <c r="QUL82">
        <v>44048</v>
      </c>
      <c r="QUM82">
        <v>44048</v>
      </c>
      <c r="QUN82">
        <v>7076358</v>
      </c>
      <c r="QUO82">
        <v>0</v>
      </c>
      <c r="QUP82" t="s">
        <v>254</v>
      </c>
      <c r="QUQ82">
        <v>830037946</v>
      </c>
      <c r="QUR82" t="s">
        <v>260</v>
      </c>
      <c r="QUS82">
        <v>131</v>
      </c>
      <c r="QUT82" t="s">
        <v>261</v>
      </c>
      <c r="QUU82">
        <v>54018</v>
      </c>
      <c r="QUV82">
        <v>0</v>
      </c>
      <c r="QUW82">
        <v>7076358</v>
      </c>
      <c r="QUX82" t="s">
        <v>262</v>
      </c>
      <c r="QUY82" t="s">
        <v>196</v>
      </c>
      <c r="QUZ82">
        <v>53248</v>
      </c>
      <c r="QVA82" t="s">
        <v>260</v>
      </c>
      <c r="QVB82">
        <v>44048</v>
      </c>
      <c r="QVC82">
        <v>44048</v>
      </c>
      <c r="QVD82">
        <v>7076358</v>
      </c>
      <c r="QVE82">
        <v>0</v>
      </c>
      <c r="QVF82" t="s">
        <v>254</v>
      </c>
      <c r="QVG82">
        <v>830037946</v>
      </c>
      <c r="QVH82" t="s">
        <v>260</v>
      </c>
      <c r="QVI82">
        <v>131</v>
      </c>
      <c r="QVJ82" t="s">
        <v>261</v>
      </c>
      <c r="QVK82">
        <v>54018</v>
      </c>
      <c r="QVL82">
        <v>0</v>
      </c>
      <c r="QVM82">
        <v>7076358</v>
      </c>
      <c r="QVN82" t="s">
        <v>262</v>
      </c>
      <c r="QVO82" t="s">
        <v>196</v>
      </c>
      <c r="QVP82">
        <v>53248</v>
      </c>
      <c r="QVQ82" t="s">
        <v>260</v>
      </c>
      <c r="QVR82">
        <v>44048</v>
      </c>
      <c r="QVS82">
        <v>44048</v>
      </c>
      <c r="QVT82">
        <v>7076358</v>
      </c>
      <c r="QVU82">
        <v>0</v>
      </c>
      <c r="QVV82" t="s">
        <v>254</v>
      </c>
      <c r="QVW82">
        <v>830037946</v>
      </c>
      <c r="QVX82" t="s">
        <v>260</v>
      </c>
      <c r="QVY82">
        <v>131</v>
      </c>
      <c r="QVZ82" t="s">
        <v>261</v>
      </c>
      <c r="QWA82">
        <v>54018</v>
      </c>
      <c r="QWB82">
        <v>0</v>
      </c>
      <c r="QWC82">
        <v>7076358</v>
      </c>
      <c r="QWD82" t="s">
        <v>262</v>
      </c>
      <c r="QWE82" t="s">
        <v>196</v>
      </c>
      <c r="QWF82">
        <v>53248</v>
      </c>
      <c r="QWG82" t="s">
        <v>260</v>
      </c>
      <c r="QWH82">
        <v>44048</v>
      </c>
      <c r="QWI82">
        <v>44048</v>
      </c>
      <c r="QWJ82">
        <v>7076358</v>
      </c>
      <c r="QWK82">
        <v>0</v>
      </c>
      <c r="QWL82" t="s">
        <v>254</v>
      </c>
      <c r="QWM82">
        <v>830037946</v>
      </c>
      <c r="QWN82" t="s">
        <v>260</v>
      </c>
      <c r="QWO82">
        <v>131</v>
      </c>
      <c r="QWP82" t="s">
        <v>261</v>
      </c>
      <c r="QWQ82">
        <v>54018</v>
      </c>
      <c r="QWR82">
        <v>0</v>
      </c>
      <c r="QWS82">
        <v>7076358</v>
      </c>
      <c r="QWT82" t="s">
        <v>262</v>
      </c>
      <c r="QWU82" t="s">
        <v>196</v>
      </c>
      <c r="QWV82">
        <v>53248</v>
      </c>
      <c r="QWW82" t="s">
        <v>260</v>
      </c>
      <c r="QWX82">
        <v>44048</v>
      </c>
      <c r="QWY82">
        <v>44048</v>
      </c>
      <c r="QWZ82">
        <v>7076358</v>
      </c>
      <c r="QXA82">
        <v>0</v>
      </c>
      <c r="QXB82" t="s">
        <v>254</v>
      </c>
      <c r="QXC82">
        <v>830037946</v>
      </c>
      <c r="QXD82" t="s">
        <v>260</v>
      </c>
      <c r="QXE82">
        <v>131</v>
      </c>
      <c r="QXF82" t="s">
        <v>261</v>
      </c>
      <c r="QXG82">
        <v>54018</v>
      </c>
      <c r="QXH82">
        <v>0</v>
      </c>
      <c r="QXI82">
        <v>7076358</v>
      </c>
      <c r="QXJ82" t="s">
        <v>262</v>
      </c>
      <c r="QXK82" t="s">
        <v>196</v>
      </c>
      <c r="QXL82">
        <v>53248</v>
      </c>
      <c r="QXM82" t="s">
        <v>260</v>
      </c>
      <c r="QXN82">
        <v>44048</v>
      </c>
      <c r="QXO82">
        <v>44048</v>
      </c>
      <c r="QXP82">
        <v>7076358</v>
      </c>
      <c r="QXQ82">
        <v>0</v>
      </c>
      <c r="QXR82" t="s">
        <v>254</v>
      </c>
      <c r="QXS82">
        <v>830037946</v>
      </c>
      <c r="QXT82" t="s">
        <v>260</v>
      </c>
      <c r="QXU82">
        <v>131</v>
      </c>
      <c r="QXV82" t="s">
        <v>261</v>
      </c>
      <c r="QXW82">
        <v>54018</v>
      </c>
      <c r="QXX82">
        <v>0</v>
      </c>
      <c r="QXY82">
        <v>7076358</v>
      </c>
      <c r="QXZ82" t="s">
        <v>262</v>
      </c>
      <c r="QYA82" t="s">
        <v>196</v>
      </c>
      <c r="QYB82">
        <v>53248</v>
      </c>
      <c r="QYC82" t="s">
        <v>260</v>
      </c>
      <c r="QYD82">
        <v>44048</v>
      </c>
      <c r="QYE82">
        <v>44048</v>
      </c>
      <c r="QYF82">
        <v>7076358</v>
      </c>
      <c r="QYG82">
        <v>0</v>
      </c>
      <c r="QYH82" t="s">
        <v>254</v>
      </c>
      <c r="QYI82">
        <v>830037946</v>
      </c>
      <c r="QYJ82" t="s">
        <v>260</v>
      </c>
      <c r="QYK82">
        <v>131</v>
      </c>
      <c r="QYL82" t="s">
        <v>261</v>
      </c>
      <c r="QYM82">
        <v>54018</v>
      </c>
      <c r="QYN82">
        <v>0</v>
      </c>
      <c r="QYO82">
        <v>7076358</v>
      </c>
      <c r="QYP82" t="s">
        <v>262</v>
      </c>
      <c r="QYQ82" t="s">
        <v>196</v>
      </c>
      <c r="QYR82">
        <v>53248</v>
      </c>
      <c r="QYS82" t="s">
        <v>260</v>
      </c>
      <c r="QYT82">
        <v>44048</v>
      </c>
      <c r="QYU82">
        <v>44048</v>
      </c>
      <c r="QYV82">
        <v>7076358</v>
      </c>
      <c r="QYW82">
        <v>0</v>
      </c>
      <c r="QYX82" t="s">
        <v>254</v>
      </c>
      <c r="QYY82">
        <v>830037946</v>
      </c>
      <c r="QYZ82" t="s">
        <v>260</v>
      </c>
      <c r="QZA82">
        <v>131</v>
      </c>
      <c r="QZB82" t="s">
        <v>261</v>
      </c>
      <c r="QZC82">
        <v>54018</v>
      </c>
      <c r="QZD82">
        <v>0</v>
      </c>
      <c r="QZE82">
        <v>7076358</v>
      </c>
      <c r="QZF82" t="s">
        <v>262</v>
      </c>
      <c r="QZG82" t="s">
        <v>196</v>
      </c>
      <c r="QZH82">
        <v>53248</v>
      </c>
      <c r="QZI82" t="s">
        <v>260</v>
      </c>
      <c r="QZJ82">
        <v>44048</v>
      </c>
      <c r="QZK82">
        <v>44048</v>
      </c>
      <c r="QZL82">
        <v>7076358</v>
      </c>
      <c r="QZM82">
        <v>0</v>
      </c>
      <c r="QZN82" t="s">
        <v>254</v>
      </c>
      <c r="QZO82">
        <v>830037946</v>
      </c>
      <c r="QZP82" t="s">
        <v>260</v>
      </c>
      <c r="QZQ82">
        <v>131</v>
      </c>
      <c r="QZR82" t="s">
        <v>261</v>
      </c>
      <c r="QZS82">
        <v>54018</v>
      </c>
      <c r="QZT82">
        <v>0</v>
      </c>
      <c r="QZU82">
        <v>7076358</v>
      </c>
      <c r="QZV82" t="s">
        <v>262</v>
      </c>
      <c r="QZW82" t="s">
        <v>196</v>
      </c>
      <c r="QZX82">
        <v>53248</v>
      </c>
      <c r="QZY82" t="s">
        <v>260</v>
      </c>
      <c r="QZZ82">
        <v>44048</v>
      </c>
      <c r="RAA82">
        <v>44048</v>
      </c>
      <c r="RAB82">
        <v>7076358</v>
      </c>
      <c r="RAC82">
        <v>0</v>
      </c>
      <c r="RAD82" t="s">
        <v>254</v>
      </c>
      <c r="RAE82">
        <v>830037946</v>
      </c>
      <c r="RAF82" t="s">
        <v>260</v>
      </c>
      <c r="RAG82">
        <v>131</v>
      </c>
      <c r="RAH82" t="s">
        <v>261</v>
      </c>
      <c r="RAI82">
        <v>54018</v>
      </c>
      <c r="RAJ82">
        <v>0</v>
      </c>
      <c r="RAK82">
        <v>7076358</v>
      </c>
      <c r="RAL82" t="s">
        <v>262</v>
      </c>
      <c r="RAM82" t="s">
        <v>196</v>
      </c>
      <c r="RAN82">
        <v>53248</v>
      </c>
      <c r="RAO82" t="s">
        <v>260</v>
      </c>
      <c r="RAP82">
        <v>44048</v>
      </c>
      <c r="RAQ82">
        <v>44048</v>
      </c>
      <c r="RAR82">
        <v>7076358</v>
      </c>
      <c r="RAS82">
        <v>0</v>
      </c>
      <c r="RAT82" t="s">
        <v>254</v>
      </c>
      <c r="RAU82">
        <v>830037946</v>
      </c>
      <c r="RAV82" t="s">
        <v>260</v>
      </c>
      <c r="RAW82">
        <v>131</v>
      </c>
      <c r="RAX82" t="s">
        <v>261</v>
      </c>
      <c r="RAY82">
        <v>54018</v>
      </c>
      <c r="RAZ82">
        <v>0</v>
      </c>
      <c r="RBA82">
        <v>7076358</v>
      </c>
      <c r="RBB82" t="s">
        <v>262</v>
      </c>
      <c r="RBC82" t="s">
        <v>196</v>
      </c>
      <c r="RBD82">
        <v>53248</v>
      </c>
      <c r="RBE82" t="s">
        <v>260</v>
      </c>
      <c r="RBF82">
        <v>44048</v>
      </c>
      <c r="RBG82">
        <v>44048</v>
      </c>
      <c r="RBH82">
        <v>7076358</v>
      </c>
      <c r="RBI82">
        <v>0</v>
      </c>
      <c r="RBJ82" t="s">
        <v>254</v>
      </c>
      <c r="RBK82">
        <v>830037946</v>
      </c>
      <c r="RBL82" t="s">
        <v>260</v>
      </c>
      <c r="RBM82">
        <v>131</v>
      </c>
      <c r="RBN82" t="s">
        <v>261</v>
      </c>
      <c r="RBO82">
        <v>54018</v>
      </c>
      <c r="RBP82">
        <v>0</v>
      </c>
      <c r="RBQ82">
        <v>7076358</v>
      </c>
      <c r="RBR82" t="s">
        <v>262</v>
      </c>
      <c r="RBS82" t="s">
        <v>196</v>
      </c>
      <c r="RBT82">
        <v>53248</v>
      </c>
      <c r="RBU82" t="s">
        <v>260</v>
      </c>
      <c r="RBV82">
        <v>44048</v>
      </c>
      <c r="RBW82">
        <v>44048</v>
      </c>
      <c r="RBX82">
        <v>7076358</v>
      </c>
      <c r="RBY82">
        <v>0</v>
      </c>
      <c r="RBZ82" t="s">
        <v>254</v>
      </c>
      <c r="RCA82">
        <v>830037946</v>
      </c>
      <c r="RCB82" t="s">
        <v>260</v>
      </c>
      <c r="RCC82">
        <v>131</v>
      </c>
      <c r="RCD82" t="s">
        <v>261</v>
      </c>
      <c r="RCE82">
        <v>54018</v>
      </c>
      <c r="RCF82">
        <v>0</v>
      </c>
      <c r="RCG82">
        <v>7076358</v>
      </c>
      <c r="RCH82" t="s">
        <v>262</v>
      </c>
      <c r="RCI82" t="s">
        <v>196</v>
      </c>
      <c r="RCJ82">
        <v>53248</v>
      </c>
      <c r="RCK82" t="s">
        <v>260</v>
      </c>
      <c r="RCL82">
        <v>44048</v>
      </c>
      <c r="RCM82">
        <v>44048</v>
      </c>
      <c r="RCN82">
        <v>7076358</v>
      </c>
      <c r="RCO82">
        <v>0</v>
      </c>
      <c r="RCP82" t="s">
        <v>254</v>
      </c>
      <c r="RCQ82">
        <v>830037946</v>
      </c>
      <c r="RCR82" t="s">
        <v>260</v>
      </c>
      <c r="RCS82">
        <v>131</v>
      </c>
      <c r="RCT82" t="s">
        <v>261</v>
      </c>
      <c r="RCU82">
        <v>54018</v>
      </c>
      <c r="RCV82">
        <v>0</v>
      </c>
      <c r="RCW82">
        <v>7076358</v>
      </c>
      <c r="RCX82" t="s">
        <v>262</v>
      </c>
      <c r="RCY82" t="s">
        <v>196</v>
      </c>
      <c r="RCZ82">
        <v>53248</v>
      </c>
      <c r="RDA82" t="s">
        <v>260</v>
      </c>
      <c r="RDB82">
        <v>44048</v>
      </c>
      <c r="RDC82">
        <v>44048</v>
      </c>
      <c r="RDD82">
        <v>7076358</v>
      </c>
      <c r="RDE82">
        <v>0</v>
      </c>
      <c r="RDF82" t="s">
        <v>254</v>
      </c>
      <c r="RDG82">
        <v>830037946</v>
      </c>
      <c r="RDH82" t="s">
        <v>260</v>
      </c>
      <c r="RDI82">
        <v>131</v>
      </c>
      <c r="RDJ82" t="s">
        <v>261</v>
      </c>
      <c r="RDK82">
        <v>54018</v>
      </c>
      <c r="RDL82">
        <v>0</v>
      </c>
      <c r="RDM82">
        <v>7076358</v>
      </c>
      <c r="RDN82" t="s">
        <v>262</v>
      </c>
      <c r="RDO82" t="s">
        <v>196</v>
      </c>
      <c r="RDP82">
        <v>53248</v>
      </c>
      <c r="RDQ82" t="s">
        <v>260</v>
      </c>
      <c r="RDR82">
        <v>44048</v>
      </c>
      <c r="RDS82">
        <v>44048</v>
      </c>
      <c r="RDT82">
        <v>7076358</v>
      </c>
      <c r="RDU82">
        <v>0</v>
      </c>
      <c r="RDV82" t="s">
        <v>254</v>
      </c>
      <c r="RDW82">
        <v>830037946</v>
      </c>
      <c r="RDX82" t="s">
        <v>260</v>
      </c>
      <c r="RDY82">
        <v>131</v>
      </c>
      <c r="RDZ82" t="s">
        <v>261</v>
      </c>
      <c r="REA82">
        <v>54018</v>
      </c>
      <c r="REB82">
        <v>0</v>
      </c>
      <c r="REC82">
        <v>7076358</v>
      </c>
      <c r="RED82" t="s">
        <v>262</v>
      </c>
      <c r="REE82" t="s">
        <v>196</v>
      </c>
      <c r="REF82">
        <v>53248</v>
      </c>
      <c r="REG82" t="s">
        <v>260</v>
      </c>
      <c r="REH82">
        <v>44048</v>
      </c>
      <c r="REI82">
        <v>44048</v>
      </c>
      <c r="REJ82">
        <v>7076358</v>
      </c>
      <c r="REK82">
        <v>0</v>
      </c>
      <c r="REL82" t="s">
        <v>254</v>
      </c>
      <c r="REM82">
        <v>830037946</v>
      </c>
      <c r="REN82" t="s">
        <v>260</v>
      </c>
      <c r="REO82">
        <v>131</v>
      </c>
      <c r="REP82" t="s">
        <v>261</v>
      </c>
      <c r="REQ82">
        <v>54018</v>
      </c>
      <c r="RER82">
        <v>0</v>
      </c>
      <c r="RES82">
        <v>7076358</v>
      </c>
      <c r="RET82" t="s">
        <v>262</v>
      </c>
      <c r="REU82" t="s">
        <v>196</v>
      </c>
      <c r="REV82">
        <v>53248</v>
      </c>
      <c r="REW82" t="s">
        <v>260</v>
      </c>
      <c r="REX82">
        <v>44048</v>
      </c>
      <c r="REY82">
        <v>44048</v>
      </c>
      <c r="REZ82">
        <v>7076358</v>
      </c>
      <c r="RFA82">
        <v>0</v>
      </c>
      <c r="RFB82" t="s">
        <v>254</v>
      </c>
      <c r="RFC82">
        <v>830037946</v>
      </c>
      <c r="RFD82" t="s">
        <v>260</v>
      </c>
      <c r="RFE82">
        <v>131</v>
      </c>
      <c r="RFF82" t="s">
        <v>261</v>
      </c>
      <c r="RFG82">
        <v>54018</v>
      </c>
      <c r="RFH82">
        <v>0</v>
      </c>
      <c r="RFI82">
        <v>7076358</v>
      </c>
      <c r="RFJ82" t="s">
        <v>262</v>
      </c>
      <c r="RFK82" t="s">
        <v>196</v>
      </c>
      <c r="RFL82">
        <v>53248</v>
      </c>
      <c r="RFM82" t="s">
        <v>260</v>
      </c>
      <c r="RFN82">
        <v>44048</v>
      </c>
      <c r="RFO82">
        <v>44048</v>
      </c>
      <c r="RFP82">
        <v>7076358</v>
      </c>
      <c r="RFQ82">
        <v>0</v>
      </c>
      <c r="RFR82" t="s">
        <v>254</v>
      </c>
      <c r="RFS82">
        <v>830037946</v>
      </c>
      <c r="RFT82" t="s">
        <v>260</v>
      </c>
      <c r="RFU82">
        <v>131</v>
      </c>
      <c r="RFV82" t="s">
        <v>261</v>
      </c>
      <c r="RFW82">
        <v>54018</v>
      </c>
      <c r="RFX82">
        <v>0</v>
      </c>
      <c r="RFY82">
        <v>7076358</v>
      </c>
      <c r="RFZ82" t="s">
        <v>262</v>
      </c>
      <c r="RGA82" t="s">
        <v>196</v>
      </c>
      <c r="RGB82">
        <v>53248</v>
      </c>
      <c r="RGC82" t="s">
        <v>260</v>
      </c>
      <c r="RGD82">
        <v>44048</v>
      </c>
      <c r="RGE82">
        <v>44048</v>
      </c>
      <c r="RGF82">
        <v>7076358</v>
      </c>
      <c r="RGG82">
        <v>0</v>
      </c>
      <c r="RGH82" t="s">
        <v>254</v>
      </c>
      <c r="RGI82">
        <v>830037946</v>
      </c>
      <c r="RGJ82" t="s">
        <v>260</v>
      </c>
      <c r="RGK82">
        <v>131</v>
      </c>
      <c r="RGL82" t="s">
        <v>261</v>
      </c>
      <c r="RGM82">
        <v>54018</v>
      </c>
      <c r="RGN82">
        <v>0</v>
      </c>
      <c r="RGO82">
        <v>7076358</v>
      </c>
      <c r="RGP82" t="s">
        <v>262</v>
      </c>
      <c r="RGQ82" t="s">
        <v>196</v>
      </c>
      <c r="RGR82">
        <v>53248</v>
      </c>
      <c r="RGS82" t="s">
        <v>260</v>
      </c>
      <c r="RGT82">
        <v>44048</v>
      </c>
      <c r="RGU82">
        <v>44048</v>
      </c>
      <c r="RGV82">
        <v>7076358</v>
      </c>
      <c r="RGW82">
        <v>0</v>
      </c>
      <c r="RGX82" t="s">
        <v>254</v>
      </c>
      <c r="RGY82">
        <v>830037946</v>
      </c>
      <c r="RGZ82" t="s">
        <v>260</v>
      </c>
      <c r="RHA82">
        <v>131</v>
      </c>
      <c r="RHB82" t="s">
        <v>261</v>
      </c>
      <c r="RHC82">
        <v>54018</v>
      </c>
      <c r="RHD82">
        <v>0</v>
      </c>
      <c r="RHE82">
        <v>7076358</v>
      </c>
      <c r="RHF82" t="s">
        <v>262</v>
      </c>
      <c r="RHG82" t="s">
        <v>196</v>
      </c>
      <c r="RHH82">
        <v>53248</v>
      </c>
      <c r="RHI82" t="s">
        <v>260</v>
      </c>
      <c r="RHJ82">
        <v>44048</v>
      </c>
      <c r="RHK82">
        <v>44048</v>
      </c>
      <c r="RHL82">
        <v>7076358</v>
      </c>
      <c r="RHM82">
        <v>0</v>
      </c>
      <c r="RHN82" t="s">
        <v>254</v>
      </c>
      <c r="RHO82">
        <v>830037946</v>
      </c>
      <c r="RHP82" t="s">
        <v>260</v>
      </c>
      <c r="RHQ82">
        <v>131</v>
      </c>
      <c r="RHR82" t="s">
        <v>261</v>
      </c>
      <c r="RHS82">
        <v>54018</v>
      </c>
      <c r="RHT82">
        <v>0</v>
      </c>
      <c r="RHU82">
        <v>7076358</v>
      </c>
      <c r="RHV82" t="s">
        <v>262</v>
      </c>
      <c r="RHW82" t="s">
        <v>196</v>
      </c>
      <c r="RHX82">
        <v>53248</v>
      </c>
      <c r="RHY82" t="s">
        <v>260</v>
      </c>
      <c r="RHZ82">
        <v>44048</v>
      </c>
      <c r="RIA82">
        <v>44048</v>
      </c>
      <c r="RIB82">
        <v>7076358</v>
      </c>
      <c r="RIC82">
        <v>0</v>
      </c>
      <c r="RID82" t="s">
        <v>254</v>
      </c>
      <c r="RIE82">
        <v>830037946</v>
      </c>
      <c r="RIF82" t="s">
        <v>260</v>
      </c>
      <c r="RIG82">
        <v>131</v>
      </c>
      <c r="RIH82" t="s">
        <v>261</v>
      </c>
      <c r="RII82">
        <v>54018</v>
      </c>
      <c r="RIJ82">
        <v>0</v>
      </c>
      <c r="RIK82">
        <v>7076358</v>
      </c>
      <c r="RIL82" t="s">
        <v>262</v>
      </c>
      <c r="RIM82" t="s">
        <v>196</v>
      </c>
      <c r="RIN82">
        <v>53248</v>
      </c>
      <c r="RIO82" t="s">
        <v>260</v>
      </c>
      <c r="RIP82">
        <v>44048</v>
      </c>
      <c r="RIQ82">
        <v>44048</v>
      </c>
      <c r="RIR82">
        <v>7076358</v>
      </c>
      <c r="RIS82">
        <v>0</v>
      </c>
      <c r="RIT82" t="s">
        <v>254</v>
      </c>
      <c r="RIU82">
        <v>830037946</v>
      </c>
      <c r="RIV82" t="s">
        <v>260</v>
      </c>
      <c r="RIW82">
        <v>131</v>
      </c>
      <c r="RIX82" t="s">
        <v>261</v>
      </c>
      <c r="RIY82">
        <v>54018</v>
      </c>
      <c r="RIZ82">
        <v>0</v>
      </c>
      <c r="RJA82">
        <v>7076358</v>
      </c>
      <c r="RJB82" t="s">
        <v>262</v>
      </c>
      <c r="RJC82" t="s">
        <v>196</v>
      </c>
      <c r="RJD82">
        <v>53248</v>
      </c>
      <c r="RJE82" t="s">
        <v>260</v>
      </c>
      <c r="RJF82">
        <v>44048</v>
      </c>
      <c r="RJG82">
        <v>44048</v>
      </c>
      <c r="RJH82">
        <v>7076358</v>
      </c>
      <c r="RJI82">
        <v>0</v>
      </c>
      <c r="RJJ82" t="s">
        <v>254</v>
      </c>
      <c r="RJK82">
        <v>830037946</v>
      </c>
      <c r="RJL82" t="s">
        <v>260</v>
      </c>
      <c r="RJM82">
        <v>131</v>
      </c>
      <c r="RJN82" t="s">
        <v>261</v>
      </c>
      <c r="RJO82">
        <v>54018</v>
      </c>
      <c r="RJP82">
        <v>0</v>
      </c>
      <c r="RJQ82">
        <v>7076358</v>
      </c>
      <c r="RJR82" t="s">
        <v>262</v>
      </c>
      <c r="RJS82" t="s">
        <v>196</v>
      </c>
      <c r="RJT82">
        <v>53248</v>
      </c>
      <c r="RJU82" t="s">
        <v>260</v>
      </c>
      <c r="RJV82">
        <v>44048</v>
      </c>
      <c r="RJW82">
        <v>44048</v>
      </c>
      <c r="RJX82">
        <v>7076358</v>
      </c>
      <c r="RJY82">
        <v>0</v>
      </c>
      <c r="RJZ82" t="s">
        <v>254</v>
      </c>
      <c r="RKA82">
        <v>830037946</v>
      </c>
      <c r="RKB82" t="s">
        <v>260</v>
      </c>
      <c r="RKC82">
        <v>131</v>
      </c>
      <c r="RKD82" t="s">
        <v>261</v>
      </c>
      <c r="RKE82">
        <v>54018</v>
      </c>
      <c r="RKF82">
        <v>0</v>
      </c>
      <c r="RKG82">
        <v>7076358</v>
      </c>
      <c r="RKH82" t="s">
        <v>262</v>
      </c>
      <c r="RKI82" t="s">
        <v>196</v>
      </c>
      <c r="RKJ82">
        <v>53248</v>
      </c>
      <c r="RKK82" t="s">
        <v>260</v>
      </c>
      <c r="RKL82">
        <v>44048</v>
      </c>
      <c r="RKM82">
        <v>44048</v>
      </c>
      <c r="RKN82">
        <v>7076358</v>
      </c>
      <c r="RKO82">
        <v>0</v>
      </c>
      <c r="RKP82" t="s">
        <v>254</v>
      </c>
      <c r="RKQ82">
        <v>830037946</v>
      </c>
      <c r="RKR82" t="s">
        <v>260</v>
      </c>
      <c r="RKS82">
        <v>131</v>
      </c>
      <c r="RKT82" t="s">
        <v>261</v>
      </c>
      <c r="RKU82">
        <v>54018</v>
      </c>
      <c r="RKV82">
        <v>0</v>
      </c>
      <c r="RKW82">
        <v>7076358</v>
      </c>
      <c r="RKX82" t="s">
        <v>262</v>
      </c>
      <c r="RKY82" t="s">
        <v>196</v>
      </c>
      <c r="RKZ82">
        <v>53248</v>
      </c>
      <c r="RLA82" t="s">
        <v>260</v>
      </c>
      <c r="RLB82">
        <v>44048</v>
      </c>
      <c r="RLC82">
        <v>44048</v>
      </c>
      <c r="RLD82">
        <v>7076358</v>
      </c>
      <c r="RLE82">
        <v>0</v>
      </c>
      <c r="RLF82" t="s">
        <v>254</v>
      </c>
      <c r="RLG82">
        <v>830037946</v>
      </c>
      <c r="RLH82" t="s">
        <v>260</v>
      </c>
      <c r="RLI82">
        <v>131</v>
      </c>
      <c r="RLJ82" t="s">
        <v>261</v>
      </c>
      <c r="RLK82">
        <v>54018</v>
      </c>
      <c r="RLL82">
        <v>0</v>
      </c>
      <c r="RLM82">
        <v>7076358</v>
      </c>
      <c r="RLN82" t="s">
        <v>262</v>
      </c>
      <c r="RLO82" t="s">
        <v>196</v>
      </c>
      <c r="RLP82">
        <v>53248</v>
      </c>
      <c r="RLQ82" t="s">
        <v>260</v>
      </c>
      <c r="RLR82">
        <v>44048</v>
      </c>
      <c r="RLS82">
        <v>44048</v>
      </c>
      <c r="RLT82">
        <v>7076358</v>
      </c>
      <c r="RLU82">
        <v>0</v>
      </c>
      <c r="RLV82" t="s">
        <v>254</v>
      </c>
      <c r="RLW82">
        <v>830037946</v>
      </c>
      <c r="RLX82" t="s">
        <v>260</v>
      </c>
      <c r="RLY82">
        <v>131</v>
      </c>
      <c r="RLZ82" t="s">
        <v>261</v>
      </c>
      <c r="RMA82">
        <v>54018</v>
      </c>
      <c r="RMB82">
        <v>0</v>
      </c>
      <c r="RMC82">
        <v>7076358</v>
      </c>
      <c r="RMD82" t="s">
        <v>262</v>
      </c>
      <c r="RME82" t="s">
        <v>196</v>
      </c>
      <c r="RMF82">
        <v>53248</v>
      </c>
      <c r="RMG82" t="s">
        <v>260</v>
      </c>
      <c r="RMH82">
        <v>44048</v>
      </c>
      <c r="RMI82">
        <v>44048</v>
      </c>
      <c r="RMJ82">
        <v>7076358</v>
      </c>
      <c r="RMK82">
        <v>0</v>
      </c>
      <c r="RML82" t="s">
        <v>254</v>
      </c>
      <c r="RMM82">
        <v>830037946</v>
      </c>
      <c r="RMN82" t="s">
        <v>260</v>
      </c>
      <c r="RMO82">
        <v>131</v>
      </c>
      <c r="RMP82" t="s">
        <v>261</v>
      </c>
      <c r="RMQ82">
        <v>54018</v>
      </c>
      <c r="RMR82">
        <v>0</v>
      </c>
      <c r="RMS82">
        <v>7076358</v>
      </c>
      <c r="RMT82" t="s">
        <v>262</v>
      </c>
      <c r="RMU82" t="s">
        <v>196</v>
      </c>
      <c r="RMV82">
        <v>53248</v>
      </c>
      <c r="RMW82" t="s">
        <v>260</v>
      </c>
      <c r="RMX82">
        <v>44048</v>
      </c>
      <c r="RMY82">
        <v>44048</v>
      </c>
      <c r="RMZ82">
        <v>7076358</v>
      </c>
      <c r="RNA82">
        <v>0</v>
      </c>
      <c r="RNB82" t="s">
        <v>254</v>
      </c>
      <c r="RNC82">
        <v>830037946</v>
      </c>
      <c r="RND82" t="s">
        <v>260</v>
      </c>
      <c r="RNE82">
        <v>131</v>
      </c>
      <c r="RNF82" t="s">
        <v>261</v>
      </c>
      <c r="RNG82">
        <v>54018</v>
      </c>
      <c r="RNH82">
        <v>0</v>
      </c>
      <c r="RNI82">
        <v>7076358</v>
      </c>
      <c r="RNJ82" t="s">
        <v>262</v>
      </c>
      <c r="RNK82" t="s">
        <v>196</v>
      </c>
      <c r="RNL82">
        <v>53248</v>
      </c>
      <c r="RNM82" t="s">
        <v>260</v>
      </c>
      <c r="RNN82">
        <v>44048</v>
      </c>
      <c r="RNO82">
        <v>44048</v>
      </c>
      <c r="RNP82">
        <v>7076358</v>
      </c>
      <c r="RNQ82">
        <v>0</v>
      </c>
      <c r="RNR82" t="s">
        <v>254</v>
      </c>
      <c r="RNS82">
        <v>830037946</v>
      </c>
      <c r="RNT82" t="s">
        <v>260</v>
      </c>
      <c r="RNU82">
        <v>131</v>
      </c>
      <c r="RNV82" t="s">
        <v>261</v>
      </c>
      <c r="RNW82">
        <v>54018</v>
      </c>
      <c r="RNX82">
        <v>0</v>
      </c>
      <c r="RNY82">
        <v>7076358</v>
      </c>
      <c r="RNZ82" t="s">
        <v>262</v>
      </c>
      <c r="ROA82" t="s">
        <v>196</v>
      </c>
      <c r="ROB82">
        <v>53248</v>
      </c>
      <c r="ROC82" t="s">
        <v>260</v>
      </c>
      <c r="ROD82">
        <v>44048</v>
      </c>
      <c r="ROE82">
        <v>44048</v>
      </c>
      <c r="ROF82">
        <v>7076358</v>
      </c>
      <c r="ROG82">
        <v>0</v>
      </c>
      <c r="ROH82" t="s">
        <v>254</v>
      </c>
      <c r="ROI82">
        <v>830037946</v>
      </c>
      <c r="ROJ82" t="s">
        <v>260</v>
      </c>
      <c r="ROK82">
        <v>131</v>
      </c>
      <c r="ROL82" t="s">
        <v>261</v>
      </c>
      <c r="ROM82">
        <v>54018</v>
      </c>
      <c r="RON82">
        <v>0</v>
      </c>
      <c r="ROO82">
        <v>7076358</v>
      </c>
      <c r="ROP82" t="s">
        <v>262</v>
      </c>
      <c r="ROQ82" t="s">
        <v>196</v>
      </c>
      <c r="ROR82">
        <v>53248</v>
      </c>
      <c r="ROS82" t="s">
        <v>260</v>
      </c>
      <c r="ROT82">
        <v>44048</v>
      </c>
      <c r="ROU82">
        <v>44048</v>
      </c>
      <c r="ROV82">
        <v>7076358</v>
      </c>
      <c r="ROW82">
        <v>0</v>
      </c>
      <c r="ROX82" t="s">
        <v>254</v>
      </c>
      <c r="ROY82">
        <v>830037946</v>
      </c>
      <c r="ROZ82" t="s">
        <v>260</v>
      </c>
      <c r="RPA82">
        <v>131</v>
      </c>
      <c r="RPB82" t="s">
        <v>261</v>
      </c>
      <c r="RPC82">
        <v>54018</v>
      </c>
      <c r="RPD82">
        <v>0</v>
      </c>
      <c r="RPE82">
        <v>7076358</v>
      </c>
      <c r="RPF82" t="s">
        <v>262</v>
      </c>
      <c r="RPG82" t="s">
        <v>196</v>
      </c>
      <c r="RPH82">
        <v>53248</v>
      </c>
      <c r="RPI82" t="s">
        <v>260</v>
      </c>
      <c r="RPJ82">
        <v>44048</v>
      </c>
      <c r="RPK82">
        <v>44048</v>
      </c>
      <c r="RPL82">
        <v>7076358</v>
      </c>
      <c r="RPM82">
        <v>0</v>
      </c>
      <c r="RPN82" t="s">
        <v>254</v>
      </c>
      <c r="RPO82">
        <v>830037946</v>
      </c>
      <c r="RPP82" t="s">
        <v>260</v>
      </c>
      <c r="RPQ82">
        <v>131</v>
      </c>
      <c r="RPR82" t="s">
        <v>261</v>
      </c>
      <c r="RPS82">
        <v>54018</v>
      </c>
      <c r="RPT82">
        <v>0</v>
      </c>
      <c r="RPU82">
        <v>7076358</v>
      </c>
      <c r="RPV82" t="s">
        <v>262</v>
      </c>
      <c r="RPW82" t="s">
        <v>196</v>
      </c>
      <c r="RPX82">
        <v>53248</v>
      </c>
      <c r="RPY82" t="s">
        <v>260</v>
      </c>
      <c r="RPZ82">
        <v>44048</v>
      </c>
      <c r="RQA82">
        <v>44048</v>
      </c>
      <c r="RQB82">
        <v>7076358</v>
      </c>
      <c r="RQC82">
        <v>0</v>
      </c>
      <c r="RQD82" t="s">
        <v>254</v>
      </c>
      <c r="RQE82">
        <v>830037946</v>
      </c>
      <c r="RQF82" t="s">
        <v>260</v>
      </c>
      <c r="RQG82">
        <v>131</v>
      </c>
      <c r="RQH82" t="s">
        <v>261</v>
      </c>
      <c r="RQI82">
        <v>54018</v>
      </c>
      <c r="RQJ82">
        <v>0</v>
      </c>
      <c r="RQK82">
        <v>7076358</v>
      </c>
      <c r="RQL82" t="s">
        <v>262</v>
      </c>
      <c r="RQM82" t="s">
        <v>196</v>
      </c>
      <c r="RQN82">
        <v>53248</v>
      </c>
      <c r="RQO82" t="s">
        <v>260</v>
      </c>
      <c r="RQP82">
        <v>44048</v>
      </c>
      <c r="RQQ82">
        <v>44048</v>
      </c>
      <c r="RQR82">
        <v>7076358</v>
      </c>
      <c r="RQS82">
        <v>0</v>
      </c>
      <c r="RQT82" t="s">
        <v>254</v>
      </c>
      <c r="RQU82">
        <v>830037946</v>
      </c>
      <c r="RQV82" t="s">
        <v>260</v>
      </c>
      <c r="RQW82">
        <v>131</v>
      </c>
      <c r="RQX82" t="s">
        <v>261</v>
      </c>
      <c r="RQY82">
        <v>54018</v>
      </c>
      <c r="RQZ82">
        <v>0</v>
      </c>
      <c r="RRA82">
        <v>7076358</v>
      </c>
      <c r="RRB82" t="s">
        <v>262</v>
      </c>
      <c r="RRC82" t="s">
        <v>196</v>
      </c>
      <c r="RRD82">
        <v>53248</v>
      </c>
      <c r="RRE82" t="s">
        <v>260</v>
      </c>
      <c r="RRF82">
        <v>44048</v>
      </c>
      <c r="RRG82">
        <v>44048</v>
      </c>
      <c r="RRH82">
        <v>7076358</v>
      </c>
      <c r="RRI82">
        <v>0</v>
      </c>
      <c r="RRJ82" t="s">
        <v>254</v>
      </c>
      <c r="RRK82">
        <v>830037946</v>
      </c>
      <c r="RRL82" t="s">
        <v>260</v>
      </c>
      <c r="RRM82">
        <v>131</v>
      </c>
      <c r="RRN82" t="s">
        <v>261</v>
      </c>
      <c r="RRO82">
        <v>54018</v>
      </c>
      <c r="RRP82">
        <v>0</v>
      </c>
      <c r="RRQ82">
        <v>7076358</v>
      </c>
      <c r="RRR82" t="s">
        <v>262</v>
      </c>
      <c r="RRS82" t="s">
        <v>196</v>
      </c>
      <c r="RRT82">
        <v>53248</v>
      </c>
      <c r="RRU82" t="s">
        <v>260</v>
      </c>
      <c r="RRV82">
        <v>44048</v>
      </c>
      <c r="RRW82">
        <v>44048</v>
      </c>
      <c r="RRX82">
        <v>7076358</v>
      </c>
      <c r="RRY82">
        <v>0</v>
      </c>
      <c r="RRZ82" t="s">
        <v>254</v>
      </c>
      <c r="RSA82">
        <v>830037946</v>
      </c>
      <c r="RSB82" t="s">
        <v>260</v>
      </c>
      <c r="RSC82">
        <v>131</v>
      </c>
      <c r="RSD82" t="s">
        <v>261</v>
      </c>
      <c r="RSE82">
        <v>54018</v>
      </c>
      <c r="RSF82">
        <v>0</v>
      </c>
      <c r="RSG82">
        <v>7076358</v>
      </c>
      <c r="RSH82" t="s">
        <v>262</v>
      </c>
      <c r="RSI82" t="s">
        <v>196</v>
      </c>
      <c r="RSJ82">
        <v>53248</v>
      </c>
      <c r="RSK82" t="s">
        <v>260</v>
      </c>
      <c r="RSL82">
        <v>44048</v>
      </c>
      <c r="RSM82">
        <v>44048</v>
      </c>
      <c r="RSN82">
        <v>7076358</v>
      </c>
      <c r="RSO82">
        <v>0</v>
      </c>
      <c r="RSP82" t="s">
        <v>254</v>
      </c>
      <c r="RSQ82">
        <v>830037946</v>
      </c>
      <c r="RSR82" t="s">
        <v>260</v>
      </c>
      <c r="RSS82">
        <v>131</v>
      </c>
      <c r="RST82" t="s">
        <v>261</v>
      </c>
      <c r="RSU82">
        <v>54018</v>
      </c>
      <c r="RSV82">
        <v>0</v>
      </c>
      <c r="RSW82">
        <v>7076358</v>
      </c>
      <c r="RSX82" t="s">
        <v>262</v>
      </c>
      <c r="RSY82" t="s">
        <v>196</v>
      </c>
      <c r="RSZ82">
        <v>53248</v>
      </c>
      <c r="RTA82" t="s">
        <v>260</v>
      </c>
      <c r="RTB82">
        <v>44048</v>
      </c>
      <c r="RTC82">
        <v>44048</v>
      </c>
      <c r="RTD82">
        <v>7076358</v>
      </c>
      <c r="RTE82">
        <v>0</v>
      </c>
      <c r="RTF82" t="s">
        <v>254</v>
      </c>
      <c r="RTG82">
        <v>830037946</v>
      </c>
      <c r="RTH82" t="s">
        <v>260</v>
      </c>
      <c r="RTI82">
        <v>131</v>
      </c>
      <c r="RTJ82" t="s">
        <v>261</v>
      </c>
      <c r="RTK82">
        <v>54018</v>
      </c>
      <c r="RTL82">
        <v>0</v>
      </c>
      <c r="RTM82">
        <v>7076358</v>
      </c>
      <c r="RTN82" t="s">
        <v>262</v>
      </c>
      <c r="RTO82" t="s">
        <v>196</v>
      </c>
      <c r="RTP82">
        <v>53248</v>
      </c>
      <c r="RTQ82" t="s">
        <v>260</v>
      </c>
      <c r="RTR82">
        <v>44048</v>
      </c>
      <c r="RTS82">
        <v>44048</v>
      </c>
      <c r="RTT82">
        <v>7076358</v>
      </c>
      <c r="RTU82">
        <v>0</v>
      </c>
      <c r="RTV82" t="s">
        <v>254</v>
      </c>
      <c r="RTW82">
        <v>830037946</v>
      </c>
      <c r="RTX82" t="s">
        <v>260</v>
      </c>
      <c r="RTY82">
        <v>131</v>
      </c>
      <c r="RTZ82" t="s">
        <v>261</v>
      </c>
      <c r="RUA82">
        <v>54018</v>
      </c>
      <c r="RUB82">
        <v>0</v>
      </c>
      <c r="RUC82">
        <v>7076358</v>
      </c>
      <c r="RUD82" t="s">
        <v>262</v>
      </c>
      <c r="RUE82" t="s">
        <v>196</v>
      </c>
      <c r="RUF82">
        <v>53248</v>
      </c>
      <c r="RUG82" t="s">
        <v>260</v>
      </c>
      <c r="RUH82">
        <v>44048</v>
      </c>
      <c r="RUI82">
        <v>44048</v>
      </c>
      <c r="RUJ82">
        <v>7076358</v>
      </c>
      <c r="RUK82">
        <v>0</v>
      </c>
      <c r="RUL82" t="s">
        <v>254</v>
      </c>
      <c r="RUM82">
        <v>830037946</v>
      </c>
      <c r="RUN82" t="s">
        <v>260</v>
      </c>
      <c r="RUO82">
        <v>131</v>
      </c>
      <c r="RUP82" t="s">
        <v>261</v>
      </c>
      <c r="RUQ82">
        <v>54018</v>
      </c>
      <c r="RUR82">
        <v>0</v>
      </c>
      <c r="RUS82">
        <v>7076358</v>
      </c>
      <c r="RUT82" t="s">
        <v>262</v>
      </c>
      <c r="RUU82" t="s">
        <v>196</v>
      </c>
      <c r="RUV82">
        <v>53248</v>
      </c>
      <c r="RUW82" t="s">
        <v>260</v>
      </c>
      <c r="RUX82">
        <v>44048</v>
      </c>
      <c r="RUY82">
        <v>44048</v>
      </c>
      <c r="RUZ82">
        <v>7076358</v>
      </c>
      <c r="RVA82">
        <v>0</v>
      </c>
      <c r="RVB82" t="s">
        <v>254</v>
      </c>
      <c r="RVC82">
        <v>830037946</v>
      </c>
      <c r="RVD82" t="s">
        <v>260</v>
      </c>
      <c r="RVE82">
        <v>131</v>
      </c>
      <c r="RVF82" t="s">
        <v>261</v>
      </c>
      <c r="RVG82">
        <v>54018</v>
      </c>
      <c r="RVH82">
        <v>0</v>
      </c>
      <c r="RVI82">
        <v>7076358</v>
      </c>
      <c r="RVJ82" t="s">
        <v>262</v>
      </c>
      <c r="RVK82" t="s">
        <v>196</v>
      </c>
      <c r="RVL82">
        <v>53248</v>
      </c>
      <c r="RVM82" t="s">
        <v>260</v>
      </c>
      <c r="RVN82">
        <v>44048</v>
      </c>
      <c r="RVO82">
        <v>44048</v>
      </c>
      <c r="RVP82">
        <v>7076358</v>
      </c>
      <c r="RVQ82">
        <v>0</v>
      </c>
      <c r="RVR82" t="s">
        <v>254</v>
      </c>
      <c r="RVS82">
        <v>830037946</v>
      </c>
      <c r="RVT82" t="s">
        <v>260</v>
      </c>
      <c r="RVU82">
        <v>131</v>
      </c>
      <c r="RVV82" t="s">
        <v>261</v>
      </c>
      <c r="RVW82">
        <v>54018</v>
      </c>
      <c r="RVX82">
        <v>0</v>
      </c>
      <c r="RVY82">
        <v>7076358</v>
      </c>
      <c r="RVZ82" t="s">
        <v>262</v>
      </c>
      <c r="RWA82" t="s">
        <v>196</v>
      </c>
      <c r="RWB82">
        <v>53248</v>
      </c>
      <c r="RWC82" t="s">
        <v>260</v>
      </c>
      <c r="RWD82">
        <v>44048</v>
      </c>
      <c r="RWE82">
        <v>44048</v>
      </c>
      <c r="RWF82">
        <v>7076358</v>
      </c>
      <c r="RWG82">
        <v>0</v>
      </c>
      <c r="RWH82" t="s">
        <v>254</v>
      </c>
      <c r="RWI82">
        <v>830037946</v>
      </c>
      <c r="RWJ82" t="s">
        <v>260</v>
      </c>
      <c r="RWK82">
        <v>131</v>
      </c>
      <c r="RWL82" t="s">
        <v>261</v>
      </c>
      <c r="RWM82">
        <v>54018</v>
      </c>
      <c r="RWN82">
        <v>0</v>
      </c>
      <c r="RWO82">
        <v>7076358</v>
      </c>
      <c r="RWP82" t="s">
        <v>262</v>
      </c>
      <c r="RWQ82" t="s">
        <v>196</v>
      </c>
      <c r="RWR82">
        <v>53248</v>
      </c>
      <c r="RWS82" t="s">
        <v>260</v>
      </c>
      <c r="RWT82">
        <v>44048</v>
      </c>
      <c r="RWU82">
        <v>44048</v>
      </c>
      <c r="RWV82">
        <v>7076358</v>
      </c>
      <c r="RWW82">
        <v>0</v>
      </c>
      <c r="RWX82" t="s">
        <v>254</v>
      </c>
      <c r="RWY82">
        <v>830037946</v>
      </c>
      <c r="RWZ82" t="s">
        <v>260</v>
      </c>
      <c r="RXA82">
        <v>131</v>
      </c>
      <c r="RXB82" t="s">
        <v>261</v>
      </c>
      <c r="RXC82">
        <v>54018</v>
      </c>
      <c r="RXD82">
        <v>0</v>
      </c>
      <c r="RXE82">
        <v>7076358</v>
      </c>
      <c r="RXF82" t="s">
        <v>262</v>
      </c>
      <c r="RXG82" t="s">
        <v>196</v>
      </c>
      <c r="RXH82">
        <v>53248</v>
      </c>
      <c r="RXI82" t="s">
        <v>260</v>
      </c>
      <c r="RXJ82">
        <v>44048</v>
      </c>
      <c r="RXK82">
        <v>44048</v>
      </c>
      <c r="RXL82">
        <v>7076358</v>
      </c>
      <c r="RXM82">
        <v>0</v>
      </c>
      <c r="RXN82" t="s">
        <v>254</v>
      </c>
      <c r="RXO82">
        <v>830037946</v>
      </c>
      <c r="RXP82" t="s">
        <v>260</v>
      </c>
      <c r="RXQ82">
        <v>131</v>
      </c>
      <c r="RXR82" t="s">
        <v>261</v>
      </c>
      <c r="RXS82">
        <v>54018</v>
      </c>
      <c r="RXT82">
        <v>0</v>
      </c>
      <c r="RXU82">
        <v>7076358</v>
      </c>
      <c r="RXV82" t="s">
        <v>262</v>
      </c>
      <c r="RXW82" t="s">
        <v>196</v>
      </c>
      <c r="RXX82">
        <v>53248</v>
      </c>
      <c r="RXY82" t="s">
        <v>260</v>
      </c>
      <c r="RXZ82">
        <v>44048</v>
      </c>
      <c r="RYA82">
        <v>44048</v>
      </c>
      <c r="RYB82">
        <v>7076358</v>
      </c>
      <c r="RYC82">
        <v>0</v>
      </c>
      <c r="RYD82" t="s">
        <v>254</v>
      </c>
      <c r="RYE82">
        <v>830037946</v>
      </c>
      <c r="RYF82" t="s">
        <v>260</v>
      </c>
      <c r="RYG82">
        <v>131</v>
      </c>
      <c r="RYH82" t="s">
        <v>261</v>
      </c>
      <c r="RYI82">
        <v>54018</v>
      </c>
      <c r="RYJ82">
        <v>0</v>
      </c>
      <c r="RYK82">
        <v>7076358</v>
      </c>
      <c r="RYL82" t="s">
        <v>262</v>
      </c>
      <c r="RYM82" t="s">
        <v>196</v>
      </c>
      <c r="RYN82">
        <v>53248</v>
      </c>
      <c r="RYO82" t="s">
        <v>260</v>
      </c>
      <c r="RYP82">
        <v>44048</v>
      </c>
      <c r="RYQ82">
        <v>44048</v>
      </c>
      <c r="RYR82">
        <v>7076358</v>
      </c>
      <c r="RYS82">
        <v>0</v>
      </c>
      <c r="RYT82" t="s">
        <v>254</v>
      </c>
      <c r="RYU82">
        <v>830037946</v>
      </c>
      <c r="RYV82" t="s">
        <v>260</v>
      </c>
      <c r="RYW82">
        <v>131</v>
      </c>
      <c r="RYX82" t="s">
        <v>261</v>
      </c>
      <c r="RYY82">
        <v>54018</v>
      </c>
      <c r="RYZ82">
        <v>0</v>
      </c>
      <c r="RZA82">
        <v>7076358</v>
      </c>
      <c r="RZB82" t="s">
        <v>262</v>
      </c>
      <c r="RZC82" t="s">
        <v>196</v>
      </c>
      <c r="RZD82">
        <v>53248</v>
      </c>
      <c r="RZE82" t="s">
        <v>260</v>
      </c>
      <c r="RZF82">
        <v>44048</v>
      </c>
      <c r="RZG82">
        <v>44048</v>
      </c>
      <c r="RZH82">
        <v>7076358</v>
      </c>
      <c r="RZI82">
        <v>0</v>
      </c>
      <c r="RZJ82" t="s">
        <v>254</v>
      </c>
      <c r="RZK82">
        <v>830037946</v>
      </c>
      <c r="RZL82" t="s">
        <v>260</v>
      </c>
      <c r="RZM82">
        <v>131</v>
      </c>
      <c r="RZN82" t="s">
        <v>261</v>
      </c>
      <c r="RZO82">
        <v>54018</v>
      </c>
      <c r="RZP82">
        <v>0</v>
      </c>
      <c r="RZQ82">
        <v>7076358</v>
      </c>
      <c r="RZR82" t="s">
        <v>262</v>
      </c>
      <c r="RZS82" t="s">
        <v>196</v>
      </c>
      <c r="RZT82">
        <v>53248</v>
      </c>
      <c r="RZU82" t="s">
        <v>260</v>
      </c>
      <c r="RZV82">
        <v>44048</v>
      </c>
      <c r="RZW82">
        <v>44048</v>
      </c>
      <c r="RZX82">
        <v>7076358</v>
      </c>
      <c r="RZY82">
        <v>0</v>
      </c>
      <c r="RZZ82" t="s">
        <v>254</v>
      </c>
      <c r="SAA82">
        <v>830037946</v>
      </c>
      <c r="SAB82" t="s">
        <v>260</v>
      </c>
      <c r="SAC82">
        <v>131</v>
      </c>
      <c r="SAD82" t="s">
        <v>261</v>
      </c>
      <c r="SAE82">
        <v>54018</v>
      </c>
      <c r="SAF82">
        <v>0</v>
      </c>
      <c r="SAG82">
        <v>7076358</v>
      </c>
      <c r="SAH82" t="s">
        <v>262</v>
      </c>
      <c r="SAI82" t="s">
        <v>196</v>
      </c>
      <c r="SAJ82">
        <v>53248</v>
      </c>
      <c r="SAK82" t="s">
        <v>260</v>
      </c>
      <c r="SAL82">
        <v>44048</v>
      </c>
      <c r="SAM82">
        <v>44048</v>
      </c>
      <c r="SAN82">
        <v>7076358</v>
      </c>
      <c r="SAO82">
        <v>0</v>
      </c>
      <c r="SAP82" t="s">
        <v>254</v>
      </c>
      <c r="SAQ82">
        <v>830037946</v>
      </c>
      <c r="SAR82" t="s">
        <v>260</v>
      </c>
      <c r="SAS82">
        <v>131</v>
      </c>
      <c r="SAT82" t="s">
        <v>261</v>
      </c>
      <c r="SAU82">
        <v>54018</v>
      </c>
      <c r="SAV82">
        <v>0</v>
      </c>
      <c r="SAW82">
        <v>7076358</v>
      </c>
      <c r="SAX82" t="s">
        <v>262</v>
      </c>
      <c r="SAY82" t="s">
        <v>196</v>
      </c>
      <c r="SAZ82">
        <v>53248</v>
      </c>
      <c r="SBA82" t="s">
        <v>260</v>
      </c>
      <c r="SBB82">
        <v>44048</v>
      </c>
      <c r="SBC82">
        <v>44048</v>
      </c>
      <c r="SBD82">
        <v>7076358</v>
      </c>
      <c r="SBE82">
        <v>0</v>
      </c>
      <c r="SBF82" t="s">
        <v>254</v>
      </c>
      <c r="SBG82">
        <v>830037946</v>
      </c>
      <c r="SBH82" t="s">
        <v>260</v>
      </c>
      <c r="SBI82">
        <v>131</v>
      </c>
      <c r="SBJ82" t="s">
        <v>261</v>
      </c>
      <c r="SBK82">
        <v>54018</v>
      </c>
      <c r="SBL82">
        <v>0</v>
      </c>
      <c r="SBM82">
        <v>7076358</v>
      </c>
      <c r="SBN82" t="s">
        <v>262</v>
      </c>
      <c r="SBO82" t="s">
        <v>196</v>
      </c>
      <c r="SBP82">
        <v>53248</v>
      </c>
      <c r="SBQ82" t="s">
        <v>260</v>
      </c>
      <c r="SBR82">
        <v>44048</v>
      </c>
      <c r="SBS82">
        <v>44048</v>
      </c>
      <c r="SBT82">
        <v>7076358</v>
      </c>
      <c r="SBU82">
        <v>0</v>
      </c>
      <c r="SBV82" t="s">
        <v>254</v>
      </c>
      <c r="SBW82">
        <v>830037946</v>
      </c>
      <c r="SBX82" t="s">
        <v>260</v>
      </c>
      <c r="SBY82">
        <v>131</v>
      </c>
      <c r="SBZ82" t="s">
        <v>261</v>
      </c>
      <c r="SCA82">
        <v>54018</v>
      </c>
      <c r="SCB82">
        <v>0</v>
      </c>
      <c r="SCC82">
        <v>7076358</v>
      </c>
      <c r="SCD82" t="s">
        <v>262</v>
      </c>
      <c r="SCE82" t="s">
        <v>196</v>
      </c>
      <c r="SCF82">
        <v>53248</v>
      </c>
      <c r="SCG82" t="s">
        <v>260</v>
      </c>
      <c r="SCH82">
        <v>44048</v>
      </c>
      <c r="SCI82">
        <v>44048</v>
      </c>
      <c r="SCJ82">
        <v>7076358</v>
      </c>
      <c r="SCK82">
        <v>0</v>
      </c>
      <c r="SCL82" t="s">
        <v>254</v>
      </c>
      <c r="SCM82">
        <v>830037946</v>
      </c>
      <c r="SCN82" t="s">
        <v>260</v>
      </c>
      <c r="SCO82">
        <v>131</v>
      </c>
      <c r="SCP82" t="s">
        <v>261</v>
      </c>
      <c r="SCQ82">
        <v>54018</v>
      </c>
      <c r="SCR82">
        <v>0</v>
      </c>
      <c r="SCS82">
        <v>7076358</v>
      </c>
      <c r="SCT82" t="s">
        <v>262</v>
      </c>
      <c r="SCU82" t="s">
        <v>196</v>
      </c>
      <c r="SCV82">
        <v>53248</v>
      </c>
      <c r="SCW82" t="s">
        <v>260</v>
      </c>
      <c r="SCX82">
        <v>44048</v>
      </c>
      <c r="SCY82">
        <v>44048</v>
      </c>
      <c r="SCZ82">
        <v>7076358</v>
      </c>
      <c r="SDA82">
        <v>0</v>
      </c>
      <c r="SDB82" t="s">
        <v>254</v>
      </c>
      <c r="SDC82">
        <v>830037946</v>
      </c>
      <c r="SDD82" t="s">
        <v>260</v>
      </c>
      <c r="SDE82">
        <v>131</v>
      </c>
      <c r="SDF82" t="s">
        <v>261</v>
      </c>
      <c r="SDG82">
        <v>54018</v>
      </c>
      <c r="SDH82">
        <v>0</v>
      </c>
      <c r="SDI82">
        <v>7076358</v>
      </c>
      <c r="SDJ82" t="s">
        <v>262</v>
      </c>
      <c r="SDK82" t="s">
        <v>196</v>
      </c>
      <c r="SDL82">
        <v>53248</v>
      </c>
      <c r="SDM82" t="s">
        <v>260</v>
      </c>
      <c r="SDN82">
        <v>44048</v>
      </c>
      <c r="SDO82">
        <v>44048</v>
      </c>
      <c r="SDP82">
        <v>7076358</v>
      </c>
      <c r="SDQ82">
        <v>0</v>
      </c>
      <c r="SDR82" t="s">
        <v>254</v>
      </c>
      <c r="SDS82">
        <v>830037946</v>
      </c>
      <c r="SDT82" t="s">
        <v>260</v>
      </c>
      <c r="SDU82">
        <v>131</v>
      </c>
      <c r="SDV82" t="s">
        <v>261</v>
      </c>
      <c r="SDW82">
        <v>54018</v>
      </c>
      <c r="SDX82">
        <v>0</v>
      </c>
      <c r="SDY82">
        <v>7076358</v>
      </c>
      <c r="SDZ82" t="s">
        <v>262</v>
      </c>
      <c r="SEA82" t="s">
        <v>196</v>
      </c>
      <c r="SEB82">
        <v>53248</v>
      </c>
      <c r="SEC82" t="s">
        <v>260</v>
      </c>
      <c r="SED82">
        <v>44048</v>
      </c>
      <c r="SEE82">
        <v>44048</v>
      </c>
      <c r="SEF82">
        <v>7076358</v>
      </c>
      <c r="SEG82">
        <v>0</v>
      </c>
      <c r="SEH82" t="s">
        <v>254</v>
      </c>
      <c r="SEI82">
        <v>830037946</v>
      </c>
      <c r="SEJ82" t="s">
        <v>260</v>
      </c>
      <c r="SEK82">
        <v>131</v>
      </c>
      <c r="SEL82" t="s">
        <v>261</v>
      </c>
      <c r="SEM82">
        <v>54018</v>
      </c>
      <c r="SEN82">
        <v>0</v>
      </c>
      <c r="SEO82">
        <v>7076358</v>
      </c>
      <c r="SEP82" t="s">
        <v>262</v>
      </c>
      <c r="SEQ82" t="s">
        <v>196</v>
      </c>
      <c r="SER82">
        <v>53248</v>
      </c>
      <c r="SES82" t="s">
        <v>260</v>
      </c>
      <c r="SET82">
        <v>44048</v>
      </c>
      <c r="SEU82">
        <v>44048</v>
      </c>
      <c r="SEV82">
        <v>7076358</v>
      </c>
      <c r="SEW82">
        <v>0</v>
      </c>
      <c r="SEX82" t="s">
        <v>254</v>
      </c>
      <c r="SEY82">
        <v>830037946</v>
      </c>
      <c r="SEZ82" t="s">
        <v>260</v>
      </c>
      <c r="SFA82">
        <v>131</v>
      </c>
      <c r="SFB82" t="s">
        <v>261</v>
      </c>
      <c r="SFC82">
        <v>54018</v>
      </c>
      <c r="SFD82">
        <v>0</v>
      </c>
      <c r="SFE82">
        <v>7076358</v>
      </c>
      <c r="SFF82" t="s">
        <v>262</v>
      </c>
      <c r="SFG82" t="s">
        <v>196</v>
      </c>
      <c r="SFH82">
        <v>53248</v>
      </c>
      <c r="SFI82" t="s">
        <v>260</v>
      </c>
      <c r="SFJ82">
        <v>44048</v>
      </c>
      <c r="SFK82">
        <v>44048</v>
      </c>
      <c r="SFL82">
        <v>7076358</v>
      </c>
      <c r="SFM82">
        <v>0</v>
      </c>
      <c r="SFN82" t="s">
        <v>254</v>
      </c>
      <c r="SFO82">
        <v>830037946</v>
      </c>
      <c r="SFP82" t="s">
        <v>260</v>
      </c>
      <c r="SFQ82">
        <v>131</v>
      </c>
      <c r="SFR82" t="s">
        <v>261</v>
      </c>
      <c r="SFS82">
        <v>54018</v>
      </c>
      <c r="SFT82">
        <v>0</v>
      </c>
      <c r="SFU82">
        <v>7076358</v>
      </c>
      <c r="SFV82" t="s">
        <v>262</v>
      </c>
      <c r="SFW82" t="s">
        <v>196</v>
      </c>
      <c r="SFX82">
        <v>53248</v>
      </c>
      <c r="SFY82" t="s">
        <v>260</v>
      </c>
      <c r="SFZ82">
        <v>44048</v>
      </c>
      <c r="SGA82">
        <v>44048</v>
      </c>
      <c r="SGB82">
        <v>7076358</v>
      </c>
      <c r="SGC82">
        <v>0</v>
      </c>
      <c r="SGD82" t="s">
        <v>254</v>
      </c>
      <c r="SGE82">
        <v>830037946</v>
      </c>
      <c r="SGF82" t="s">
        <v>260</v>
      </c>
      <c r="SGG82">
        <v>131</v>
      </c>
      <c r="SGH82" t="s">
        <v>261</v>
      </c>
      <c r="SGI82">
        <v>54018</v>
      </c>
      <c r="SGJ82">
        <v>0</v>
      </c>
      <c r="SGK82">
        <v>7076358</v>
      </c>
      <c r="SGL82" t="s">
        <v>262</v>
      </c>
      <c r="SGM82" t="s">
        <v>196</v>
      </c>
      <c r="SGN82">
        <v>53248</v>
      </c>
      <c r="SGO82" t="s">
        <v>260</v>
      </c>
      <c r="SGP82">
        <v>44048</v>
      </c>
      <c r="SGQ82">
        <v>44048</v>
      </c>
      <c r="SGR82">
        <v>7076358</v>
      </c>
      <c r="SGS82">
        <v>0</v>
      </c>
      <c r="SGT82" t="s">
        <v>254</v>
      </c>
      <c r="SGU82">
        <v>830037946</v>
      </c>
      <c r="SGV82" t="s">
        <v>260</v>
      </c>
      <c r="SGW82">
        <v>131</v>
      </c>
      <c r="SGX82" t="s">
        <v>261</v>
      </c>
      <c r="SGY82">
        <v>54018</v>
      </c>
      <c r="SGZ82">
        <v>0</v>
      </c>
      <c r="SHA82">
        <v>7076358</v>
      </c>
      <c r="SHB82" t="s">
        <v>262</v>
      </c>
      <c r="SHC82" t="s">
        <v>196</v>
      </c>
      <c r="SHD82">
        <v>53248</v>
      </c>
      <c r="SHE82" t="s">
        <v>260</v>
      </c>
      <c r="SHF82">
        <v>44048</v>
      </c>
      <c r="SHG82">
        <v>44048</v>
      </c>
      <c r="SHH82">
        <v>7076358</v>
      </c>
      <c r="SHI82">
        <v>0</v>
      </c>
      <c r="SHJ82" t="s">
        <v>254</v>
      </c>
      <c r="SHK82">
        <v>830037946</v>
      </c>
      <c r="SHL82" t="s">
        <v>260</v>
      </c>
      <c r="SHM82">
        <v>131</v>
      </c>
      <c r="SHN82" t="s">
        <v>261</v>
      </c>
      <c r="SHO82">
        <v>54018</v>
      </c>
      <c r="SHP82">
        <v>0</v>
      </c>
      <c r="SHQ82">
        <v>7076358</v>
      </c>
      <c r="SHR82" t="s">
        <v>262</v>
      </c>
      <c r="SHS82" t="s">
        <v>196</v>
      </c>
      <c r="SHT82">
        <v>53248</v>
      </c>
      <c r="SHU82" t="s">
        <v>260</v>
      </c>
      <c r="SHV82">
        <v>44048</v>
      </c>
      <c r="SHW82">
        <v>44048</v>
      </c>
      <c r="SHX82">
        <v>7076358</v>
      </c>
      <c r="SHY82">
        <v>0</v>
      </c>
      <c r="SHZ82" t="s">
        <v>254</v>
      </c>
      <c r="SIA82">
        <v>830037946</v>
      </c>
      <c r="SIB82" t="s">
        <v>260</v>
      </c>
      <c r="SIC82">
        <v>131</v>
      </c>
      <c r="SID82" t="s">
        <v>261</v>
      </c>
      <c r="SIE82">
        <v>54018</v>
      </c>
      <c r="SIF82">
        <v>0</v>
      </c>
      <c r="SIG82">
        <v>7076358</v>
      </c>
      <c r="SIH82" t="s">
        <v>262</v>
      </c>
      <c r="SII82" t="s">
        <v>196</v>
      </c>
      <c r="SIJ82">
        <v>53248</v>
      </c>
      <c r="SIK82" t="s">
        <v>260</v>
      </c>
      <c r="SIL82">
        <v>44048</v>
      </c>
      <c r="SIM82">
        <v>44048</v>
      </c>
      <c r="SIN82">
        <v>7076358</v>
      </c>
      <c r="SIO82">
        <v>0</v>
      </c>
      <c r="SIP82" t="s">
        <v>254</v>
      </c>
      <c r="SIQ82">
        <v>830037946</v>
      </c>
      <c r="SIR82" t="s">
        <v>260</v>
      </c>
      <c r="SIS82">
        <v>131</v>
      </c>
      <c r="SIT82" t="s">
        <v>261</v>
      </c>
      <c r="SIU82">
        <v>54018</v>
      </c>
      <c r="SIV82">
        <v>0</v>
      </c>
      <c r="SIW82">
        <v>7076358</v>
      </c>
      <c r="SIX82" t="s">
        <v>262</v>
      </c>
      <c r="SIY82" t="s">
        <v>196</v>
      </c>
      <c r="SIZ82">
        <v>53248</v>
      </c>
      <c r="SJA82" t="s">
        <v>260</v>
      </c>
      <c r="SJB82">
        <v>44048</v>
      </c>
      <c r="SJC82">
        <v>44048</v>
      </c>
      <c r="SJD82">
        <v>7076358</v>
      </c>
      <c r="SJE82">
        <v>0</v>
      </c>
      <c r="SJF82" t="s">
        <v>254</v>
      </c>
      <c r="SJG82">
        <v>830037946</v>
      </c>
      <c r="SJH82" t="s">
        <v>260</v>
      </c>
      <c r="SJI82">
        <v>131</v>
      </c>
      <c r="SJJ82" t="s">
        <v>261</v>
      </c>
      <c r="SJK82">
        <v>54018</v>
      </c>
      <c r="SJL82">
        <v>0</v>
      </c>
      <c r="SJM82">
        <v>7076358</v>
      </c>
      <c r="SJN82" t="s">
        <v>262</v>
      </c>
      <c r="SJO82" t="s">
        <v>196</v>
      </c>
      <c r="SJP82">
        <v>53248</v>
      </c>
      <c r="SJQ82" t="s">
        <v>260</v>
      </c>
      <c r="SJR82">
        <v>44048</v>
      </c>
      <c r="SJS82">
        <v>44048</v>
      </c>
      <c r="SJT82">
        <v>7076358</v>
      </c>
      <c r="SJU82">
        <v>0</v>
      </c>
      <c r="SJV82" t="s">
        <v>254</v>
      </c>
      <c r="SJW82">
        <v>830037946</v>
      </c>
      <c r="SJX82" t="s">
        <v>260</v>
      </c>
      <c r="SJY82">
        <v>131</v>
      </c>
      <c r="SJZ82" t="s">
        <v>261</v>
      </c>
      <c r="SKA82">
        <v>54018</v>
      </c>
      <c r="SKB82">
        <v>0</v>
      </c>
      <c r="SKC82">
        <v>7076358</v>
      </c>
      <c r="SKD82" t="s">
        <v>262</v>
      </c>
      <c r="SKE82" t="s">
        <v>196</v>
      </c>
      <c r="SKF82">
        <v>53248</v>
      </c>
      <c r="SKG82" t="s">
        <v>260</v>
      </c>
      <c r="SKH82">
        <v>44048</v>
      </c>
      <c r="SKI82">
        <v>44048</v>
      </c>
      <c r="SKJ82">
        <v>7076358</v>
      </c>
      <c r="SKK82">
        <v>0</v>
      </c>
      <c r="SKL82" t="s">
        <v>254</v>
      </c>
      <c r="SKM82">
        <v>830037946</v>
      </c>
      <c r="SKN82" t="s">
        <v>260</v>
      </c>
      <c r="SKO82">
        <v>131</v>
      </c>
      <c r="SKP82" t="s">
        <v>261</v>
      </c>
      <c r="SKQ82">
        <v>54018</v>
      </c>
      <c r="SKR82">
        <v>0</v>
      </c>
      <c r="SKS82">
        <v>7076358</v>
      </c>
      <c r="SKT82" t="s">
        <v>262</v>
      </c>
      <c r="SKU82" t="s">
        <v>196</v>
      </c>
      <c r="SKV82">
        <v>53248</v>
      </c>
      <c r="SKW82" t="s">
        <v>260</v>
      </c>
      <c r="SKX82">
        <v>44048</v>
      </c>
      <c r="SKY82">
        <v>44048</v>
      </c>
      <c r="SKZ82">
        <v>7076358</v>
      </c>
      <c r="SLA82">
        <v>0</v>
      </c>
      <c r="SLB82" t="s">
        <v>254</v>
      </c>
      <c r="SLC82">
        <v>830037946</v>
      </c>
      <c r="SLD82" t="s">
        <v>260</v>
      </c>
      <c r="SLE82">
        <v>131</v>
      </c>
      <c r="SLF82" t="s">
        <v>261</v>
      </c>
      <c r="SLG82">
        <v>54018</v>
      </c>
      <c r="SLH82">
        <v>0</v>
      </c>
      <c r="SLI82">
        <v>7076358</v>
      </c>
      <c r="SLJ82" t="s">
        <v>262</v>
      </c>
      <c r="SLK82" t="s">
        <v>196</v>
      </c>
      <c r="SLL82">
        <v>53248</v>
      </c>
      <c r="SLM82" t="s">
        <v>260</v>
      </c>
      <c r="SLN82">
        <v>44048</v>
      </c>
      <c r="SLO82">
        <v>44048</v>
      </c>
      <c r="SLP82">
        <v>7076358</v>
      </c>
      <c r="SLQ82">
        <v>0</v>
      </c>
      <c r="SLR82" t="s">
        <v>254</v>
      </c>
      <c r="SLS82">
        <v>830037946</v>
      </c>
      <c r="SLT82" t="s">
        <v>260</v>
      </c>
      <c r="SLU82">
        <v>131</v>
      </c>
      <c r="SLV82" t="s">
        <v>261</v>
      </c>
      <c r="SLW82">
        <v>54018</v>
      </c>
      <c r="SLX82">
        <v>0</v>
      </c>
      <c r="SLY82">
        <v>7076358</v>
      </c>
      <c r="SLZ82" t="s">
        <v>262</v>
      </c>
      <c r="SMA82" t="s">
        <v>196</v>
      </c>
      <c r="SMB82">
        <v>53248</v>
      </c>
      <c r="SMC82" t="s">
        <v>260</v>
      </c>
      <c r="SMD82">
        <v>44048</v>
      </c>
      <c r="SME82">
        <v>44048</v>
      </c>
      <c r="SMF82">
        <v>7076358</v>
      </c>
      <c r="SMG82">
        <v>0</v>
      </c>
      <c r="SMH82" t="s">
        <v>254</v>
      </c>
      <c r="SMI82">
        <v>830037946</v>
      </c>
      <c r="SMJ82" t="s">
        <v>260</v>
      </c>
      <c r="SMK82">
        <v>131</v>
      </c>
      <c r="SML82" t="s">
        <v>261</v>
      </c>
      <c r="SMM82">
        <v>54018</v>
      </c>
      <c r="SMN82">
        <v>0</v>
      </c>
      <c r="SMO82">
        <v>7076358</v>
      </c>
      <c r="SMP82" t="s">
        <v>262</v>
      </c>
      <c r="SMQ82" t="s">
        <v>196</v>
      </c>
      <c r="SMR82">
        <v>53248</v>
      </c>
      <c r="SMS82" t="s">
        <v>260</v>
      </c>
      <c r="SMT82">
        <v>44048</v>
      </c>
      <c r="SMU82">
        <v>44048</v>
      </c>
      <c r="SMV82">
        <v>7076358</v>
      </c>
      <c r="SMW82">
        <v>0</v>
      </c>
      <c r="SMX82" t="s">
        <v>254</v>
      </c>
      <c r="SMY82">
        <v>830037946</v>
      </c>
      <c r="SMZ82" t="s">
        <v>260</v>
      </c>
      <c r="SNA82">
        <v>131</v>
      </c>
      <c r="SNB82" t="s">
        <v>261</v>
      </c>
      <c r="SNC82">
        <v>54018</v>
      </c>
      <c r="SND82">
        <v>0</v>
      </c>
      <c r="SNE82">
        <v>7076358</v>
      </c>
      <c r="SNF82" t="s">
        <v>262</v>
      </c>
      <c r="SNG82" t="s">
        <v>196</v>
      </c>
      <c r="SNH82">
        <v>53248</v>
      </c>
      <c r="SNI82" t="s">
        <v>260</v>
      </c>
      <c r="SNJ82">
        <v>44048</v>
      </c>
      <c r="SNK82">
        <v>44048</v>
      </c>
      <c r="SNL82">
        <v>7076358</v>
      </c>
      <c r="SNM82">
        <v>0</v>
      </c>
      <c r="SNN82" t="s">
        <v>254</v>
      </c>
      <c r="SNO82">
        <v>830037946</v>
      </c>
      <c r="SNP82" t="s">
        <v>260</v>
      </c>
      <c r="SNQ82">
        <v>131</v>
      </c>
      <c r="SNR82" t="s">
        <v>261</v>
      </c>
      <c r="SNS82">
        <v>54018</v>
      </c>
      <c r="SNT82">
        <v>0</v>
      </c>
      <c r="SNU82">
        <v>7076358</v>
      </c>
      <c r="SNV82" t="s">
        <v>262</v>
      </c>
      <c r="SNW82" t="s">
        <v>196</v>
      </c>
      <c r="SNX82">
        <v>53248</v>
      </c>
      <c r="SNY82" t="s">
        <v>260</v>
      </c>
      <c r="SNZ82">
        <v>44048</v>
      </c>
      <c r="SOA82">
        <v>44048</v>
      </c>
      <c r="SOB82">
        <v>7076358</v>
      </c>
      <c r="SOC82">
        <v>0</v>
      </c>
      <c r="SOD82" t="s">
        <v>254</v>
      </c>
      <c r="SOE82">
        <v>830037946</v>
      </c>
      <c r="SOF82" t="s">
        <v>260</v>
      </c>
      <c r="SOG82">
        <v>131</v>
      </c>
      <c r="SOH82" t="s">
        <v>261</v>
      </c>
      <c r="SOI82">
        <v>54018</v>
      </c>
      <c r="SOJ82">
        <v>0</v>
      </c>
      <c r="SOK82">
        <v>7076358</v>
      </c>
      <c r="SOL82" t="s">
        <v>262</v>
      </c>
      <c r="SOM82" t="s">
        <v>196</v>
      </c>
      <c r="SON82">
        <v>53248</v>
      </c>
      <c r="SOO82" t="s">
        <v>260</v>
      </c>
      <c r="SOP82">
        <v>44048</v>
      </c>
      <c r="SOQ82">
        <v>44048</v>
      </c>
      <c r="SOR82">
        <v>7076358</v>
      </c>
      <c r="SOS82">
        <v>0</v>
      </c>
      <c r="SOT82" t="s">
        <v>254</v>
      </c>
      <c r="SOU82">
        <v>830037946</v>
      </c>
      <c r="SOV82" t="s">
        <v>260</v>
      </c>
      <c r="SOW82">
        <v>131</v>
      </c>
      <c r="SOX82" t="s">
        <v>261</v>
      </c>
      <c r="SOY82">
        <v>54018</v>
      </c>
      <c r="SOZ82">
        <v>0</v>
      </c>
      <c r="SPA82">
        <v>7076358</v>
      </c>
      <c r="SPB82" t="s">
        <v>262</v>
      </c>
      <c r="SPC82" t="s">
        <v>196</v>
      </c>
      <c r="SPD82">
        <v>53248</v>
      </c>
      <c r="SPE82" t="s">
        <v>260</v>
      </c>
      <c r="SPF82">
        <v>44048</v>
      </c>
      <c r="SPG82">
        <v>44048</v>
      </c>
      <c r="SPH82">
        <v>7076358</v>
      </c>
      <c r="SPI82">
        <v>0</v>
      </c>
      <c r="SPJ82" t="s">
        <v>254</v>
      </c>
      <c r="SPK82">
        <v>830037946</v>
      </c>
      <c r="SPL82" t="s">
        <v>260</v>
      </c>
      <c r="SPM82">
        <v>131</v>
      </c>
      <c r="SPN82" t="s">
        <v>261</v>
      </c>
      <c r="SPO82">
        <v>54018</v>
      </c>
      <c r="SPP82">
        <v>0</v>
      </c>
      <c r="SPQ82">
        <v>7076358</v>
      </c>
      <c r="SPR82" t="s">
        <v>262</v>
      </c>
      <c r="SPS82" t="s">
        <v>196</v>
      </c>
      <c r="SPT82">
        <v>53248</v>
      </c>
      <c r="SPU82" t="s">
        <v>260</v>
      </c>
      <c r="SPV82">
        <v>44048</v>
      </c>
      <c r="SPW82">
        <v>44048</v>
      </c>
      <c r="SPX82">
        <v>7076358</v>
      </c>
      <c r="SPY82">
        <v>0</v>
      </c>
      <c r="SPZ82" t="s">
        <v>254</v>
      </c>
      <c r="SQA82">
        <v>830037946</v>
      </c>
      <c r="SQB82" t="s">
        <v>260</v>
      </c>
      <c r="SQC82">
        <v>131</v>
      </c>
      <c r="SQD82" t="s">
        <v>261</v>
      </c>
      <c r="SQE82">
        <v>54018</v>
      </c>
      <c r="SQF82">
        <v>0</v>
      </c>
      <c r="SQG82">
        <v>7076358</v>
      </c>
      <c r="SQH82" t="s">
        <v>262</v>
      </c>
      <c r="SQI82" t="s">
        <v>196</v>
      </c>
      <c r="SQJ82">
        <v>53248</v>
      </c>
      <c r="SQK82" t="s">
        <v>260</v>
      </c>
      <c r="SQL82">
        <v>44048</v>
      </c>
      <c r="SQM82">
        <v>44048</v>
      </c>
      <c r="SQN82">
        <v>7076358</v>
      </c>
      <c r="SQO82">
        <v>0</v>
      </c>
      <c r="SQP82" t="s">
        <v>254</v>
      </c>
      <c r="SQQ82">
        <v>830037946</v>
      </c>
      <c r="SQR82" t="s">
        <v>260</v>
      </c>
      <c r="SQS82">
        <v>131</v>
      </c>
      <c r="SQT82" t="s">
        <v>261</v>
      </c>
      <c r="SQU82">
        <v>54018</v>
      </c>
      <c r="SQV82">
        <v>0</v>
      </c>
      <c r="SQW82">
        <v>7076358</v>
      </c>
      <c r="SQX82" t="s">
        <v>262</v>
      </c>
      <c r="SQY82" t="s">
        <v>196</v>
      </c>
      <c r="SQZ82">
        <v>53248</v>
      </c>
      <c r="SRA82" t="s">
        <v>260</v>
      </c>
      <c r="SRB82">
        <v>44048</v>
      </c>
      <c r="SRC82">
        <v>44048</v>
      </c>
      <c r="SRD82">
        <v>7076358</v>
      </c>
      <c r="SRE82">
        <v>0</v>
      </c>
      <c r="SRF82" t="s">
        <v>254</v>
      </c>
      <c r="SRG82">
        <v>830037946</v>
      </c>
      <c r="SRH82" t="s">
        <v>260</v>
      </c>
      <c r="SRI82">
        <v>131</v>
      </c>
      <c r="SRJ82" t="s">
        <v>261</v>
      </c>
      <c r="SRK82">
        <v>54018</v>
      </c>
      <c r="SRL82">
        <v>0</v>
      </c>
      <c r="SRM82">
        <v>7076358</v>
      </c>
      <c r="SRN82" t="s">
        <v>262</v>
      </c>
      <c r="SRO82" t="s">
        <v>196</v>
      </c>
      <c r="SRP82">
        <v>53248</v>
      </c>
      <c r="SRQ82" t="s">
        <v>260</v>
      </c>
      <c r="SRR82">
        <v>44048</v>
      </c>
      <c r="SRS82">
        <v>44048</v>
      </c>
      <c r="SRT82">
        <v>7076358</v>
      </c>
      <c r="SRU82">
        <v>0</v>
      </c>
      <c r="SRV82" t="s">
        <v>254</v>
      </c>
      <c r="SRW82">
        <v>830037946</v>
      </c>
      <c r="SRX82" t="s">
        <v>260</v>
      </c>
      <c r="SRY82">
        <v>131</v>
      </c>
      <c r="SRZ82" t="s">
        <v>261</v>
      </c>
      <c r="SSA82">
        <v>54018</v>
      </c>
      <c r="SSB82">
        <v>0</v>
      </c>
      <c r="SSC82">
        <v>7076358</v>
      </c>
      <c r="SSD82" t="s">
        <v>262</v>
      </c>
      <c r="SSE82" t="s">
        <v>196</v>
      </c>
      <c r="SSF82">
        <v>53248</v>
      </c>
      <c r="SSG82" t="s">
        <v>260</v>
      </c>
      <c r="SSH82">
        <v>44048</v>
      </c>
      <c r="SSI82">
        <v>44048</v>
      </c>
      <c r="SSJ82">
        <v>7076358</v>
      </c>
      <c r="SSK82">
        <v>0</v>
      </c>
      <c r="SSL82" t="s">
        <v>254</v>
      </c>
      <c r="SSM82">
        <v>830037946</v>
      </c>
      <c r="SSN82" t="s">
        <v>260</v>
      </c>
      <c r="SSO82">
        <v>131</v>
      </c>
      <c r="SSP82" t="s">
        <v>261</v>
      </c>
      <c r="SSQ82">
        <v>54018</v>
      </c>
      <c r="SSR82">
        <v>0</v>
      </c>
      <c r="SSS82">
        <v>7076358</v>
      </c>
      <c r="SST82" t="s">
        <v>262</v>
      </c>
      <c r="SSU82" t="s">
        <v>196</v>
      </c>
      <c r="SSV82">
        <v>53248</v>
      </c>
      <c r="SSW82" t="s">
        <v>260</v>
      </c>
      <c r="SSX82">
        <v>44048</v>
      </c>
      <c r="SSY82">
        <v>44048</v>
      </c>
      <c r="SSZ82">
        <v>7076358</v>
      </c>
      <c r="STA82">
        <v>0</v>
      </c>
      <c r="STB82" t="s">
        <v>254</v>
      </c>
      <c r="STC82">
        <v>830037946</v>
      </c>
      <c r="STD82" t="s">
        <v>260</v>
      </c>
      <c r="STE82">
        <v>131</v>
      </c>
      <c r="STF82" t="s">
        <v>261</v>
      </c>
      <c r="STG82">
        <v>54018</v>
      </c>
      <c r="STH82">
        <v>0</v>
      </c>
      <c r="STI82">
        <v>7076358</v>
      </c>
      <c r="STJ82" t="s">
        <v>262</v>
      </c>
      <c r="STK82" t="s">
        <v>196</v>
      </c>
      <c r="STL82">
        <v>53248</v>
      </c>
      <c r="STM82" t="s">
        <v>260</v>
      </c>
      <c r="STN82">
        <v>44048</v>
      </c>
      <c r="STO82">
        <v>44048</v>
      </c>
      <c r="STP82">
        <v>7076358</v>
      </c>
      <c r="STQ82">
        <v>0</v>
      </c>
      <c r="STR82" t="s">
        <v>254</v>
      </c>
      <c r="STS82">
        <v>830037946</v>
      </c>
      <c r="STT82" t="s">
        <v>260</v>
      </c>
      <c r="STU82">
        <v>131</v>
      </c>
      <c r="STV82" t="s">
        <v>261</v>
      </c>
      <c r="STW82">
        <v>54018</v>
      </c>
      <c r="STX82">
        <v>0</v>
      </c>
      <c r="STY82">
        <v>7076358</v>
      </c>
      <c r="STZ82" t="s">
        <v>262</v>
      </c>
      <c r="SUA82" t="s">
        <v>196</v>
      </c>
      <c r="SUB82">
        <v>53248</v>
      </c>
      <c r="SUC82" t="s">
        <v>260</v>
      </c>
      <c r="SUD82">
        <v>44048</v>
      </c>
      <c r="SUE82">
        <v>44048</v>
      </c>
      <c r="SUF82">
        <v>7076358</v>
      </c>
      <c r="SUG82">
        <v>0</v>
      </c>
      <c r="SUH82" t="s">
        <v>254</v>
      </c>
      <c r="SUI82">
        <v>830037946</v>
      </c>
      <c r="SUJ82" t="s">
        <v>260</v>
      </c>
      <c r="SUK82">
        <v>131</v>
      </c>
      <c r="SUL82" t="s">
        <v>261</v>
      </c>
      <c r="SUM82">
        <v>54018</v>
      </c>
      <c r="SUN82">
        <v>0</v>
      </c>
      <c r="SUO82">
        <v>7076358</v>
      </c>
      <c r="SUP82" t="s">
        <v>262</v>
      </c>
      <c r="SUQ82" t="s">
        <v>196</v>
      </c>
      <c r="SUR82">
        <v>53248</v>
      </c>
      <c r="SUS82" t="s">
        <v>260</v>
      </c>
      <c r="SUT82">
        <v>44048</v>
      </c>
      <c r="SUU82">
        <v>44048</v>
      </c>
      <c r="SUV82">
        <v>7076358</v>
      </c>
      <c r="SUW82">
        <v>0</v>
      </c>
      <c r="SUX82" t="s">
        <v>254</v>
      </c>
      <c r="SUY82">
        <v>830037946</v>
      </c>
      <c r="SUZ82" t="s">
        <v>260</v>
      </c>
      <c r="SVA82">
        <v>131</v>
      </c>
      <c r="SVB82" t="s">
        <v>261</v>
      </c>
      <c r="SVC82">
        <v>54018</v>
      </c>
      <c r="SVD82">
        <v>0</v>
      </c>
      <c r="SVE82">
        <v>7076358</v>
      </c>
      <c r="SVF82" t="s">
        <v>262</v>
      </c>
      <c r="SVG82" t="s">
        <v>196</v>
      </c>
      <c r="SVH82">
        <v>53248</v>
      </c>
      <c r="SVI82" t="s">
        <v>260</v>
      </c>
      <c r="SVJ82">
        <v>44048</v>
      </c>
      <c r="SVK82">
        <v>44048</v>
      </c>
      <c r="SVL82">
        <v>7076358</v>
      </c>
      <c r="SVM82">
        <v>0</v>
      </c>
      <c r="SVN82" t="s">
        <v>254</v>
      </c>
      <c r="SVO82">
        <v>830037946</v>
      </c>
      <c r="SVP82" t="s">
        <v>260</v>
      </c>
      <c r="SVQ82">
        <v>131</v>
      </c>
      <c r="SVR82" t="s">
        <v>261</v>
      </c>
      <c r="SVS82">
        <v>54018</v>
      </c>
      <c r="SVT82">
        <v>0</v>
      </c>
      <c r="SVU82">
        <v>7076358</v>
      </c>
      <c r="SVV82" t="s">
        <v>262</v>
      </c>
      <c r="SVW82" t="s">
        <v>196</v>
      </c>
      <c r="SVX82">
        <v>53248</v>
      </c>
      <c r="SVY82" t="s">
        <v>260</v>
      </c>
      <c r="SVZ82">
        <v>44048</v>
      </c>
      <c r="SWA82">
        <v>44048</v>
      </c>
      <c r="SWB82">
        <v>7076358</v>
      </c>
      <c r="SWC82">
        <v>0</v>
      </c>
      <c r="SWD82" t="s">
        <v>254</v>
      </c>
      <c r="SWE82">
        <v>830037946</v>
      </c>
      <c r="SWF82" t="s">
        <v>260</v>
      </c>
      <c r="SWG82">
        <v>131</v>
      </c>
      <c r="SWH82" t="s">
        <v>261</v>
      </c>
      <c r="SWI82">
        <v>54018</v>
      </c>
      <c r="SWJ82">
        <v>0</v>
      </c>
      <c r="SWK82">
        <v>7076358</v>
      </c>
      <c r="SWL82" t="s">
        <v>262</v>
      </c>
      <c r="SWM82" t="s">
        <v>196</v>
      </c>
      <c r="SWN82">
        <v>53248</v>
      </c>
      <c r="SWO82" t="s">
        <v>260</v>
      </c>
      <c r="SWP82">
        <v>44048</v>
      </c>
      <c r="SWQ82">
        <v>44048</v>
      </c>
      <c r="SWR82">
        <v>7076358</v>
      </c>
      <c r="SWS82">
        <v>0</v>
      </c>
      <c r="SWT82" t="s">
        <v>254</v>
      </c>
      <c r="SWU82">
        <v>830037946</v>
      </c>
      <c r="SWV82" t="s">
        <v>260</v>
      </c>
      <c r="SWW82">
        <v>131</v>
      </c>
      <c r="SWX82" t="s">
        <v>261</v>
      </c>
      <c r="SWY82">
        <v>54018</v>
      </c>
      <c r="SWZ82">
        <v>0</v>
      </c>
      <c r="SXA82">
        <v>7076358</v>
      </c>
      <c r="SXB82" t="s">
        <v>262</v>
      </c>
      <c r="SXC82" t="s">
        <v>196</v>
      </c>
      <c r="SXD82">
        <v>53248</v>
      </c>
      <c r="SXE82" t="s">
        <v>260</v>
      </c>
      <c r="SXF82">
        <v>44048</v>
      </c>
      <c r="SXG82">
        <v>44048</v>
      </c>
      <c r="SXH82">
        <v>7076358</v>
      </c>
      <c r="SXI82">
        <v>0</v>
      </c>
      <c r="SXJ82" t="s">
        <v>254</v>
      </c>
      <c r="SXK82">
        <v>830037946</v>
      </c>
      <c r="SXL82" t="s">
        <v>260</v>
      </c>
      <c r="SXM82">
        <v>131</v>
      </c>
      <c r="SXN82" t="s">
        <v>261</v>
      </c>
      <c r="SXO82">
        <v>54018</v>
      </c>
      <c r="SXP82">
        <v>0</v>
      </c>
      <c r="SXQ82">
        <v>7076358</v>
      </c>
      <c r="SXR82" t="s">
        <v>262</v>
      </c>
      <c r="SXS82" t="s">
        <v>196</v>
      </c>
      <c r="SXT82">
        <v>53248</v>
      </c>
      <c r="SXU82" t="s">
        <v>260</v>
      </c>
      <c r="SXV82">
        <v>44048</v>
      </c>
      <c r="SXW82">
        <v>44048</v>
      </c>
      <c r="SXX82">
        <v>7076358</v>
      </c>
      <c r="SXY82">
        <v>0</v>
      </c>
      <c r="SXZ82" t="s">
        <v>254</v>
      </c>
      <c r="SYA82">
        <v>830037946</v>
      </c>
      <c r="SYB82" t="s">
        <v>260</v>
      </c>
      <c r="SYC82">
        <v>131</v>
      </c>
      <c r="SYD82" t="s">
        <v>261</v>
      </c>
      <c r="SYE82">
        <v>54018</v>
      </c>
      <c r="SYF82">
        <v>0</v>
      </c>
      <c r="SYG82">
        <v>7076358</v>
      </c>
      <c r="SYH82" t="s">
        <v>262</v>
      </c>
      <c r="SYI82" t="s">
        <v>196</v>
      </c>
      <c r="SYJ82">
        <v>53248</v>
      </c>
      <c r="SYK82" t="s">
        <v>260</v>
      </c>
      <c r="SYL82">
        <v>44048</v>
      </c>
      <c r="SYM82">
        <v>44048</v>
      </c>
      <c r="SYN82">
        <v>7076358</v>
      </c>
      <c r="SYO82">
        <v>0</v>
      </c>
      <c r="SYP82" t="s">
        <v>254</v>
      </c>
      <c r="SYQ82">
        <v>830037946</v>
      </c>
      <c r="SYR82" t="s">
        <v>260</v>
      </c>
      <c r="SYS82">
        <v>131</v>
      </c>
      <c r="SYT82" t="s">
        <v>261</v>
      </c>
      <c r="SYU82">
        <v>54018</v>
      </c>
      <c r="SYV82">
        <v>0</v>
      </c>
      <c r="SYW82">
        <v>7076358</v>
      </c>
      <c r="SYX82" t="s">
        <v>262</v>
      </c>
      <c r="SYY82" t="s">
        <v>196</v>
      </c>
      <c r="SYZ82">
        <v>53248</v>
      </c>
      <c r="SZA82" t="s">
        <v>260</v>
      </c>
      <c r="SZB82">
        <v>44048</v>
      </c>
      <c r="SZC82">
        <v>44048</v>
      </c>
      <c r="SZD82">
        <v>7076358</v>
      </c>
      <c r="SZE82">
        <v>0</v>
      </c>
      <c r="SZF82" t="s">
        <v>254</v>
      </c>
      <c r="SZG82">
        <v>830037946</v>
      </c>
      <c r="SZH82" t="s">
        <v>260</v>
      </c>
      <c r="SZI82">
        <v>131</v>
      </c>
      <c r="SZJ82" t="s">
        <v>261</v>
      </c>
      <c r="SZK82">
        <v>54018</v>
      </c>
      <c r="SZL82">
        <v>0</v>
      </c>
      <c r="SZM82">
        <v>7076358</v>
      </c>
      <c r="SZN82" t="s">
        <v>262</v>
      </c>
      <c r="SZO82" t="s">
        <v>196</v>
      </c>
      <c r="SZP82">
        <v>53248</v>
      </c>
      <c r="SZQ82" t="s">
        <v>260</v>
      </c>
      <c r="SZR82">
        <v>44048</v>
      </c>
      <c r="SZS82">
        <v>44048</v>
      </c>
      <c r="SZT82">
        <v>7076358</v>
      </c>
      <c r="SZU82">
        <v>0</v>
      </c>
      <c r="SZV82" t="s">
        <v>254</v>
      </c>
      <c r="SZW82">
        <v>830037946</v>
      </c>
      <c r="SZX82" t="s">
        <v>260</v>
      </c>
      <c r="SZY82">
        <v>131</v>
      </c>
      <c r="SZZ82" t="s">
        <v>261</v>
      </c>
      <c r="TAA82">
        <v>54018</v>
      </c>
      <c r="TAB82">
        <v>0</v>
      </c>
      <c r="TAC82">
        <v>7076358</v>
      </c>
      <c r="TAD82" t="s">
        <v>262</v>
      </c>
      <c r="TAE82" t="s">
        <v>196</v>
      </c>
      <c r="TAF82">
        <v>53248</v>
      </c>
      <c r="TAG82" t="s">
        <v>260</v>
      </c>
      <c r="TAH82">
        <v>44048</v>
      </c>
      <c r="TAI82">
        <v>44048</v>
      </c>
      <c r="TAJ82">
        <v>7076358</v>
      </c>
      <c r="TAK82">
        <v>0</v>
      </c>
      <c r="TAL82" t="s">
        <v>254</v>
      </c>
      <c r="TAM82">
        <v>830037946</v>
      </c>
      <c r="TAN82" t="s">
        <v>260</v>
      </c>
      <c r="TAO82">
        <v>131</v>
      </c>
      <c r="TAP82" t="s">
        <v>261</v>
      </c>
      <c r="TAQ82">
        <v>54018</v>
      </c>
      <c r="TAR82">
        <v>0</v>
      </c>
      <c r="TAS82">
        <v>7076358</v>
      </c>
      <c r="TAT82" t="s">
        <v>262</v>
      </c>
      <c r="TAU82" t="s">
        <v>196</v>
      </c>
      <c r="TAV82">
        <v>53248</v>
      </c>
      <c r="TAW82" t="s">
        <v>260</v>
      </c>
      <c r="TAX82">
        <v>44048</v>
      </c>
      <c r="TAY82">
        <v>44048</v>
      </c>
      <c r="TAZ82">
        <v>7076358</v>
      </c>
      <c r="TBA82">
        <v>0</v>
      </c>
      <c r="TBB82" t="s">
        <v>254</v>
      </c>
      <c r="TBC82">
        <v>830037946</v>
      </c>
      <c r="TBD82" t="s">
        <v>260</v>
      </c>
      <c r="TBE82">
        <v>131</v>
      </c>
      <c r="TBF82" t="s">
        <v>261</v>
      </c>
      <c r="TBG82">
        <v>54018</v>
      </c>
      <c r="TBH82">
        <v>0</v>
      </c>
      <c r="TBI82">
        <v>7076358</v>
      </c>
      <c r="TBJ82" t="s">
        <v>262</v>
      </c>
      <c r="TBK82" t="s">
        <v>196</v>
      </c>
      <c r="TBL82">
        <v>53248</v>
      </c>
      <c r="TBM82" t="s">
        <v>260</v>
      </c>
      <c r="TBN82">
        <v>44048</v>
      </c>
      <c r="TBO82">
        <v>44048</v>
      </c>
      <c r="TBP82">
        <v>7076358</v>
      </c>
      <c r="TBQ82">
        <v>0</v>
      </c>
      <c r="TBR82" t="s">
        <v>254</v>
      </c>
      <c r="TBS82">
        <v>830037946</v>
      </c>
      <c r="TBT82" t="s">
        <v>260</v>
      </c>
      <c r="TBU82">
        <v>131</v>
      </c>
      <c r="TBV82" t="s">
        <v>261</v>
      </c>
      <c r="TBW82">
        <v>54018</v>
      </c>
      <c r="TBX82">
        <v>0</v>
      </c>
      <c r="TBY82">
        <v>7076358</v>
      </c>
      <c r="TBZ82" t="s">
        <v>262</v>
      </c>
      <c r="TCA82" t="s">
        <v>196</v>
      </c>
      <c r="TCB82">
        <v>53248</v>
      </c>
      <c r="TCC82" t="s">
        <v>260</v>
      </c>
      <c r="TCD82">
        <v>44048</v>
      </c>
      <c r="TCE82">
        <v>44048</v>
      </c>
      <c r="TCF82">
        <v>7076358</v>
      </c>
      <c r="TCG82">
        <v>0</v>
      </c>
      <c r="TCH82" t="s">
        <v>254</v>
      </c>
      <c r="TCI82">
        <v>830037946</v>
      </c>
      <c r="TCJ82" t="s">
        <v>260</v>
      </c>
      <c r="TCK82">
        <v>131</v>
      </c>
      <c r="TCL82" t="s">
        <v>261</v>
      </c>
      <c r="TCM82">
        <v>54018</v>
      </c>
      <c r="TCN82">
        <v>0</v>
      </c>
      <c r="TCO82">
        <v>7076358</v>
      </c>
      <c r="TCP82" t="s">
        <v>262</v>
      </c>
      <c r="TCQ82" t="s">
        <v>196</v>
      </c>
      <c r="TCR82">
        <v>53248</v>
      </c>
      <c r="TCS82" t="s">
        <v>260</v>
      </c>
      <c r="TCT82">
        <v>44048</v>
      </c>
      <c r="TCU82">
        <v>44048</v>
      </c>
      <c r="TCV82">
        <v>7076358</v>
      </c>
      <c r="TCW82">
        <v>0</v>
      </c>
      <c r="TCX82" t="s">
        <v>254</v>
      </c>
      <c r="TCY82">
        <v>830037946</v>
      </c>
      <c r="TCZ82" t="s">
        <v>260</v>
      </c>
      <c r="TDA82">
        <v>131</v>
      </c>
      <c r="TDB82" t="s">
        <v>261</v>
      </c>
      <c r="TDC82">
        <v>54018</v>
      </c>
      <c r="TDD82">
        <v>0</v>
      </c>
      <c r="TDE82">
        <v>7076358</v>
      </c>
      <c r="TDF82" t="s">
        <v>262</v>
      </c>
      <c r="TDG82" t="s">
        <v>196</v>
      </c>
      <c r="TDH82">
        <v>53248</v>
      </c>
      <c r="TDI82" t="s">
        <v>260</v>
      </c>
      <c r="TDJ82">
        <v>44048</v>
      </c>
      <c r="TDK82">
        <v>44048</v>
      </c>
      <c r="TDL82">
        <v>7076358</v>
      </c>
      <c r="TDM82">
        <v>0</v>
      </c>
      <c r="TDN82" t="s">
        <v>254</v>
      </c>
      <c r="TDO82">
        <v>830037946</v>
      </c>
      <c r="TDP82" t="s">
        <v>260</v>
      </c>
      <c r="TDQ82">
        <v>131</v>
      </c>
      <c r="TDR82" t="s">
        <v>261</v>
      </c>
      <c r="TDS82">
        <v>54018</v>
      </c>
      <c r="TDT82">
        <v>0</v>
      </c>
      <c r="TDU82">
        <v>7076358</v>
      </c>
      <c r="TDV82" t="s">
        <v>262</v>
      </c>
      <c r="TDW82" t="s">
        <v>196</v>
      </c>
      <c r="TDX82">
        <v>53248</v>
      </c>
      <c r="TDY82" t="s">
        <v>260</v>
      </c>
      <c r="TDZ82">
        <v>44048</v>
      </c>
      <c r="TEA82">
        <v>44048</v>
      </c>
      <c r="TEB82">
        <v>7076358</v>
      </c>
      <c r="TEC82">
        <v>0</v>
      </c>
      <c r="TED82" t="s">
        <v>254</v>
      </c>
      <c r="TEE82">
        <v>830037946</v>
      </c>
      <c r="TEF82" t="s">
        <v>260</v>
      </c>
      <c r="TEG82">
        <v>131</v>
      </c>
      <c r="TEH82" t="s">
        <v>261</v>
      </c>
      <c r="TEI82">
        <v>54018</v>
      </c>
      <c r="TEJ82">
        <v>0</v>
      </c>
      <c r="TEK82">
        <v>7076358</v>
      </c>
      <c r="TEL82" t="s">
        <v>262</v>
      </c>
      <c r="TEM82" t="s">
        <v>196</v>
      </c>
      <c r="TEN82">
        <v>53248</v>
      </c>
      <c r="TEO82" t="s">
        <v>260</v>
      </c>
      <c r="TEP82">
        <v>44048</v>
      </c>
      <c r="TEQ82">
        <v>44048</v>
      </c>
      <c r="TER82">
        <v>7076358</v>
      </c>
      <c r="TES82">
        <v>0</v>
      </c>
      <c r="TET82" t="s">
        <v>254</v>
      </c>
      <c r="TEU82">
        <v>830037946</v>
      </c>
      <c r="TEV82" t="s">
        <v>260</v>
      </c>
      <c r="TEW82">
        <v>131</v>
      </c>
      <c r="TEX82" t="s">
        <v>261</v>
      </c>
      <c r="TEY82">
        <v>54018</v>
      </c>
      <c r="TEZ82">
        <v>0</v>
      </c>
      <c r="TFA82">
        <v>7076358</v>
      </c>
      <c r="TFB82" t="s">
        <v>262</v>
      </c>
      <c r="TFC82" t="s">
        <v>196</v>
      </c>
      <c r="TFD82">
        <v>53248</v>
      </c>
      <c r="TFE82" t="s">
        <v>260</v>
      </c>
      <c r="TFF82">
        <v>44048</v>
      </c>
      <c r="TFG82">
        <v>44048</v>
      </c>
      <c r="TFH82">
        <v>7076358</v>
      </c>
      <c r="TFI82">
        <v>0</v>
      </c>
      <c r="TFJ82" t="s">
        <v>254</v>
      </c>
      <c r="TFK82">
        <v>830037946</v>
      </c>
      <c r="TFL82" t="s">
        <v>260</v>
      </c>
      <c r="TFM82">
        <v>131</v>
      </c>
      <c r="TFN82" t="s">
        <v>261</v>
      </c>
      <c r="TFO82">
        <v>54018</v>
      </c>
      <c r="TFP82">
        <v>0</v>
      </c>
      <c r="TFQ82">
        <v>7076358</v>
      </c>
      <c r="TFR82" t="s">
        <v>262</v>
      </c>
      <c r="TFS82" t="s">
        <v>196</v>
      </c>
      <c r="TFT82">
        <v>53248</v>
      </c>
      <c r="TFU82" t="s">
        <v>260</v>
      </c>
      <c r="TFV82">
        <v>44048</v>
      </c>
      <c r="TFW82">
        <v>44048</v>
      </c>
      <c r="TFX82">
        <v>7076358</v>
      </c>
      <c r="TFY82">
        <v>0</v>
      </c>
      <c r="TFZ82" t="s">
        <v>254</v>
      </c>
      <c r="TGA82">
        <v>830037946</v>
      </c>
      <c r="TGB82" t="s">
        <v>260</v>
      </c>
      <c r="TGC82">
        <v>131</v>
      </c>
      <c r="TGD82" t="s">
        <v>261</v>
      </c>
      <c r="TGE82">
        <v>54018</v>
      </c>
      <c r="TGF82">
        <v>0</v>
      </c>
      <c r="TGG82">
        <v>7076358</v>
      </c>
      <c r="TGH82" t="s">
        <v>262</v>
      </c>
      <c r="TGI82" t="s">
        <v>196</v>
      </c>
      <c r="TGJ82">
        <v>53248</v>
      </c>
      <c r="TGK82" t="s">
        <v>260</v>
      </c>
      <c r="TGL82">
        <v>44048</v>
      </c>
      <c r="TGM82">
        <v>44048</v>
      </c>
      <c r="TGN82">
        <v>7076358</v>
      </c>
      <c r="TGO82">
        <v>0</v>
      </c>
      <c r="TGP82" t="s">
        <v>254</v>
      </c>
      <c r="TGQ82">
        <v>830037946</v>
      </c>
      <c r="TGR82" t="s">
        <v>260</v>
      </c>
      <c r="TGS82">
        <v>131</v>
      </c>
      <c r="TGT82" t="s">
        <v>261</v>
      </c>
      <c r="TGU82">
        <v>54018</v>
      </c>
      <c r="TGV82">
        <v>0</v>
      </c>
      <c r="TGW82">
        <v>7076358</v>
      </c>
      <c r="TGX82" t="s">
        <v>262</v>
      </c>
      <c r="TGY82" t="s">
        <v>196</v>
      </c>
      <c r="TGZ82">
        <v>53248</v>
      </c>
      <c r="THA82" t="s">
        <v>260</v>
      </c>
      <c r="THB82">
        <v>44048</v>
      </c>
      <c r="THC82">
        <v>44048</v>
      </c>
      <c r="THD82">
        <v>7076358</v>
      </c>
      <c r="THE82">
        <v>0</v>
      </c>
      <c r="THF82" t="s">
        <v>254</v>
      </c>
      <c r="THG82">
        <v>830037946</v>
      </c>
      <c r="THH82" t="s">
        <v>260</v>
      </c>
      <c r="THI82">
        <v>131</v>
      </c>
      <c r="THJ82" t="s">
        <v>261</v>
      </c>
      <c r="THK82">
        <v>54018</v>
      </c>
      <c r="THL82">
        <v>0</v>
      </c>
      <c r="THM82">
        <v>7076358</v>
      </c>
      <c r="THN82" t="s">
        <v>262</v>
      </c>
      <c r="THO82" t="s">
        <v>196</v>
      </c>
      <c r="THP82">
        <v>53248</v>
      </c>
      <c r="THQ82" t="s">
        <v>260</v>
      </c>
      <c r="THR82">
        <v>44048</v>
      </c>
      <c r="THS82">
        <v>44048</v>
      </c>
      <c r="THT82">
        <v>7076358</v>
      </c>
      <c r="THU82">
        <v>0</v>
      </c>
      <c r="THV82" t="s">
        <v>254</v>
      </c>
      <c r="THW82">
        <v>830037946</v>
      </c>
      <c r="THX82" t="s">
        <v>260</v>
      </c>
      <c r="THY82">
        <v>131</v>
      </c>
      <c r="THZ82" t="s">
        <v>261</v>
      </c>
      <c r="TIA82">
        <v>54018</v>
      </c>
      <c r="TIB82">
        <v>0</v>
      </c>
      <c r="TIC82">
        <v>7076358</v>
      </c>
      <c r="TID82" t="s">
        <v>262</v>
      </c>
      <c r="TIE82" t="s">
        <v>196</v>
      </c>
      <c r="TIF82">
        <v>53248</v>
      </c>
      <c r="TIG82" t="s">
        <v>260</v>
      </c>
      <c r="TIH82">
        <v>44048</v>
      </c>
      <c r="TII82">
        <v>44048</v>
      </c>
      <c r="TIJ82">
        <v>7076358</v>
      </c>
      <c r="TIK82">
        <v>0</v>
      </c>
      <c r="TIL82" t="s">
        <v>254</v>
      </c>
      <c r="TIM82">
        <v>830037946</v>
      </c>
      <c r="TIN82" t="s">
        <v>260</v>
      </c>
      <c r="TIO82">
        <v>131</v>
      </c>
      <c r="TIP82" t="s">
        <v>261</v>
      </c>
      <c r="TIQ82">
        <v>54018</v>
      </c>
      <c r="TIR82">
        <v>0</v>
      </c>
      <c r="TIS82">
        <v>7076358</v>
      </c>
      <c r="TIT82" t="s">
        <v>262</v>
      </c>
      <c r="TIU82" t="s">
        <v>196</v>
      </c>
      <c r="TIV82">
        <v>53248</v>
      </c>
      <c r="TIW82" t="s">
        <v>260</v>
      </c>
      <c r="TIX82">
        <v>44048</v>
      </c>
      <c r="TIY82">
        <v>44048</v>
      </c>
      <c r="TIZ82">
        <v>7076358</v>
      </c>
      <c r="TJA82">
        <v>0</v>
      </c>
      <c r="TJB82" t="s">
        <v>254</v>
      </c>
      <c r="TJC82">
        <v>830037946</v>
      </c>
      <c r="TJD82" t="s">
        <v>260</v>
      </c>
      <c r="TJE82">
        <v>131</v>
      </c>
      <c r="TJF82" t="s">
        <v>261</v>
      </c>
      <c r="TJG82">
        <v>54018</v>
      </c>
      <c r="TJH82">
        <v>0</v>
      </c>
      <c r="TJI82">
        <v>7076358</v>
      </c>
      <c r="TJJ82" t="s">
        <v>262</v>
      </c>
      <c r="TJK82" t="s">
        <v>196</v>
      </c>
      <c r="TJL82">
        <v>53248</v>
      </c>
      <c r="TJM82" t="s">
        <v>260</v>
      </c>
      <c r="TJN82">
        <v>44048</v>
      </c>
      <c r="TJO82">
        <v>44048</v>
      </c>
      <c r="TJP82">
        <v>7076358</v>
      </c>
      <c r="TJQ82">
        <v>0</v>
      </c>
      <c r="TJR82" t="s">
        <v>254</v>
      </c>
      <c r="TJS82">
        <v>830037946</v>
      </c>
      <c r="TJT82" t="s">
        <v>260</v>
      </c>
      <c r="TJU82">
        <v>131</v>
      </c>
      <c r="TJV82" t="s">
        <v>261</v>
      </c>
      <c r="TJW82">
        <v>54018</v>
      </c>
      <c r="TJX82">
        <v>0</v>
      </c>
      <c r="TJY82">
        <v>7076358</v>
      </c>
      <c r="TJZ82" t="s">
        <v>262</v>
      </c>
      <c r="TKA82" t="s">
        <v>196</v>
      </c>
      <c r="TKB82">
        <v>53248</v>
      </c>
      <c r="TKC82" t="s">
        <v>260</v>
      </c>
      <c r="TKD82">
        <v>44048</v>
      </c>
      <c r="TKE82">
        <v>44048</v>
      </c>
      <c r="TKF82">
        <v>7076358</v>
      </c>
      <c r="TKG82">
        <v>0</v>
      </c>
      <c r="TKH82" t="s">
        <v>254</v>
      </c>
      <c r="TKI82">
        <v>830037946</v>
      </c>
      <c r="TKJ82" t="s">
        <v>260</v>
      </c>
      <c r="TKK82">
        <v>131</v>
      </c>
      <c r="TKL82" t="s">
        <v>261</v>
      </c>
      <c r="TKM82">
        <v>54018</v>
      </c>
      <c r="TKN82">
        <v>0</v>
      </c>
      <c r="TKO82">
        <v>7076358</v>
      </c>
      <c r="TKP82" t="s">
        <v>262</v>
      </c>
      <c r="TKQ82" t="s">
        <v>196</v>
      </c>
      <c r="TKR82">
        <v>53248</v>
      </c>
      <c r="TKS82" t="s">
        <v>260</v>
      </c>
      <c r="TKT82">
        <v>44048</v>
      </c>
      <c r="TKU82">
        <v>44048</v>
      </c>
      <c r="TKV82">
        <v>7076358</v>
      </c>
      <c r="TKW82">
        <v>0</v>
      </c>
      <c r="TKX82" t="s">
        <v>254</v>
      </c>
      <c r="TKY82">
        <v>830037946</v>
      </c>
      <c r="TKZ82" t="s">
        <v>260</v>
      </c>
      <c r="TLA82">
        <v>131</v>
      </c>
      <c r="TLB82" t="s">
        <v>261</v>
      </c>
      <c r="TLC82">
        <v>54018</v>
      </c>
      <c r="TLD82">
        <v>0</v>
      </c>
      <c r="TLE82">
        <v>7076358</v>
      </c>
      <c r="TLF82" t="s">
        <v>262</v>
      </c>
      <c r="TLG82" t="s">
        <v>196</v>
      </c>
      <c r="TLH82">
        <v>53248</v>
      </c>
      <c r="TLI82" t="s">
        <v>260</v>
      </c>
      <c r="TLJ82">
        <v>44048</v>
      </c>
      <c r="TLK82">
        <v>44048</v>
      </c>
      <c r="TLL82">
        <v>7076358</v>
      </c>
      <c r="TLM82">
        <v>0</v>
      </c>
      <c r="TLN82" t="s">
        <v>254</v>
      </c>
      <c r="TLO82">
        <v>830037946</v>
      </c>
      <c r="TLP82" t="s">
        <v>260</v>
      </c>
      <c r="TLQ82">
        <v>131</v>
      </c>
      <c r="TLR82" t="s">
        <v>261</v>
      </c>
      <c r="TLS82">
        <v>54018</v>
      </c>
      <c r="TLT82">
        <v>0</v>
      </c>
      <c r="TLU82">
        <v>7076358</v>
      </c>
      <c r="TLV82" t="s">
        <v>262</v>
      </c>
      <c r="TLW82" t="s">
        <v>196</v>
      </c>
      <c r="TLX82">
        <v>53248</v>
      </c>
      <c r="TLY82" t="s">
        <v>260</v>
      </c>
      <c r="TLZ82">
        <v>44048</v>
      </c>
      <c r="TMA82">
        <v>44048</v>
      </c>
      <c r="TMB82">
        <v>7076358</v>
      </c>
      <c r="TMC82">
        <v>0</v>
      </c>
      <c r="TMD82" t="s">
        <v>254</v>
      </c>
      <c r="TME82">
        <v>830037946</v>
      </c>
      <c r="TMF82" t="s">
        <v>260</v>
      </c>
      <c r="TMG82">
        <v>131</v>
      </c>
      <c r="TMH82" t="s">
        <v>261</v>
      </c>
      <c r="TMI82">
        <v>54018</v>
      </c>
      <c r="TMJ82">
        <v>0</v>
      </c>
      <c r="TMK82">
        <v>7076358</v>
      </c>
      <c r="TML82" t="s">
        <v>262</v>
      </c>
      <c r="TMM82" t="s">
        <v>196</v>
      </c>
      <c r="TMN82">
        <v>53248</v>
      </c>
      <c r="TMO82" t="s">
        <v>260</v>
      </c>
      <c r="TMP82">
        <v>44048</v>
      </c>
      <c r="TMQ82">
        <v>44048</v>
      </c>
      <c r="TMR82">
        <v>7076358</v>
      </c>
      <c r="TMS82">
        <v>0</v>
      </c>
      <c r="TMT82" t="s">
        <v>254</v>
      </c>
      <c r="TMU82">
        <v>830037946</v>
      </c>
      <c r="TMV82" t="s">
        <v>260</v>
      </c>
      <c r="TMW82">
        <v>131</v>
      </c>
      <c r="TMX82" t="s">
        <v>261</v>
      </c>
      <c r="TMY82">
        <v>54018</v>
      </c>
      <c r="TMZ82">
        <v>0</v>
      </c>
      <c r="TNA82">
        <v>7076358</v>
      </c>
      <c r="TNB82" t="s">
        <v>262</v>
      </c>
      <c r="TNC82" t="s">
        <v>196</v>
      </c>
      <c r="TND82">
        <v>53248</v>
      </c>
      <c r="TNE82" t="s">
        <v>260</v>
      </c>
      <c r="TNF82">
        <v>44048</v>
      </c>
      <c r="TNG82">
        <v>44048</v>
      </c>
      <c r="TNH82">
        <v>7076358</v>
      </c>
      <c r="TNI82">
        <v>0</v>
      </c>
      <c r="TNJ82" t="s">
        <v>254</v>
      </c>
      <c r="TNK82">
        <v>830037946</v>
      </c>
      <c r="TNL82" t="s">
        <v>260</v>
      </c>
      <c r="TNM82">
        <v>131</v>
      </c>
      <c r="TNN82" t="s">
        <v>261</v>
      </c>
      <c r="TNO82">
        <v>54018</v>
      </c>
      <c r="TNP82">
        <v>0</v>
      </c>
      <c r="TNQ82">
        <v>7076358</v>
      </c>
      <c r="TNR82" t="s">
        <v>262</v>
      </c>
      <c r="TNS82" t="s">
        <v>196</v>
      </c>
      <c r="TNT82">
        <v>53248</v>
      </c>
      <c r="TNU82" t="s">
        <v>260</v>
      </c>
      <c r="TNV82">
        <v>44048</v>
      </c>
      <c r="TNW82">
        <v>44048</v>
      </c>
      <c r="TNX82">
        <v>7076358</v>
      </c>
      <c r="TNY82">
        <v>0</v>
      </c>
      <c r="TNZ82" t="s">
        <v>254</v>
      </c>
      <c r="TOA82">
        <v>830037946</v>
      </c>
      <c r="TOB82" t="s">
        <v>260</v>
      </c>
      <c r="TOC82">
        <v>131</v>
      </c>
      <c r="TOD82" t="s">
        <v>261</v>
      </c>
      <c r="TOE82">
        <v>54018</v>
      </c>
      <c r="TOF82">
        <v>0</v>
      </c>
      <c r="TOG82">
        <v>7076358</v>
      </c>
      <c r="TOH82" t="s">
        <v>262</v>
      </c>
      <c r="TOI82" t="s">
        <v>196</v>
      </c>
      <c r="TOJ82">
        <v>53248</v>
      </c>
      <c r="TOK82" t="s">
        <v>260</v>
      </c>
      <c r="TOL82">
        <v>44048</v>
      </c>
      <c r="TOM82">
        <v>44048</v>
      </c>
      <c r="TON82">
        <v>7076358</v>
      </c>
      <c r="TOO82">
        <v>0</v>
      </c>
      <c r="TOP82" t="s">
        <v>254</v>
      </c>
      <c r="TOQ82">
        <v>830037946</v>
      </c>
      <c r="TOR82" t="s">
        <v>260</v>
      </c>
      <c r="TOS82">
        <v>131</v>
      </c>
      <c r="TOT82" t="s">
        <v>261</v>
      </c>
      <c r="TOU82">
        <v>54018</v>
      </c>
      <c r="TOV82">
        <v>0</v>
      </c>
      <c r="TOW82">
        <v>7076358</v>
      </c>
      <c r="TOX82" t="s">
        <v>262</v>
      </c>
      <c r="TOY82" t="s">
        <v>196</v>
      </c>
      <c r="TOZ82">
        <v>53248</v>
      </c>
      <c r="TPA82" t="s">
        <v>260</v>
      </c>
      <c r="TPB82">
        <v>44048</v>
      </c>
      <c r="TPC82">
        <v>44048</v>
      </c>
      <c r="TPD82">
        <v>7076358</v>
      </c>
      <c r="TPE82">
        <v>0</v>
      </c>
      <c r="TPF82" t="s">
        <v>254</v>
      </c>
      <c r="TPG82">
        <v>830037946</v>
      </c>
      <c r="TPH82" t="s">
        <v>260</v>
      </c>
      <c r="TPI82">
        <v>131</v>
      </c>
      <c r="TPJ82" t="s">
        <v>261</v>
      </c>
      <c r="TPK82">
        <v>54018</v>
      </c>
      <c r="TPL82">
        <v>0</v>
      </c>
      <c r="TPM82">
        <v>7076358</v>
      </c>
      <c r="TPN82" t="s">
        <v>262</v>
      </c>
      <c r="TPO82" t="s">
        <v>196</v>
      </c>
      <c r="TPP82">
        <v>53248</v>
      </c>
      <c r="TPQ82" t="s">
        <v>260</v>
      </c>
      <c r="TPR82">
        <v>44048</v>
      </c>
      <c r="TPS82">
        <v>44048</v>
      </c>
      <c r="TPT82">
        <v>7076358</v>
      </c>
      <c r="TPU82">
        <v>0</v>
      </c>
      <c r="TPV82" t="s">
        <v>254</v>
      </c>
      <c r="TPW82">
        <v>830037946</v>
      </c>
      <c r="TPX82" t="s">
        <v>260</v>
      </c>
      <c r="TPY82">
        <v>131</v>
      </c>
      <c r="TPZ82" t="s">
        <v>261</v>
      </c>
      <c r="TQA82">
        <v>54018</v>
      </c>
      <c r="TQB82">
        <v>0</v>
      </c>
      <c r="TQC82">
        <v>7076358</v>
      </c>
      <c r="TQD82" t="s">
        <v>262</v>
      </c>
      <c r="TQE82" t="s">
        <v>196</v>
      </c>
      <c r="TQF82">
        <v>53248</v>
      </c>
      <c r="TQG82" t="s">
        <v>260</v>
      </c>
      <c r="TQH82">
        <v>44048</v>
      </c>
      <c r="TQI82">
        <v>44048</v>
      </c>
      <c r="TQJ82">
        <v>7076358</v>
      </c>
      <c r="TQK82">
        <v>0</v>
      </c>
      <c r="TQL82" t="s">
        <v>254</v>
      </c>
      <c r="TQM82">
        <v>830037946</v>
      </c>
      <c r="TQN82" t="s">
        <v>260</v>
      </c>
      <c r="TQO82">
        <v>131</v>
      </c>
      <c r="TQP82" t="s">
        <v>261</v>
      </c>
      <c r="TQQ82">
        <v>54018</v>
      </c>
      <c r="TQR82">
        <v>0</v>
      </c>
      <c r="TQS82">
        <v>7076358</v>
      </c>
      <c r="TQT82" t="s">
        <v>262</v>
      </c>
      <c r="TQU82" t="s">
        <v>196</v>
      </c>
      <c r="TQV82">
        <v>53248</v>
      </c>
      <c r="TQW82" t="s">
        <v>260</v>
      </c>
      <c r="TQX82">
        <v>44048</v>
      </c>
      <c r="TQY82">
        <v>44048</v>
      </c>
      <c r="TQZ82">
        <v>7076358</v>
      </c>
      <c r="TRA82">
        <v>0</v>
      </c>
      <c r="TRB82" t="s">
        <v>254</v>
      </c>
      <c r="TRC82">
        <v>830037946</v>
      </c>
      <c r="TRD82" t="s">
        <v>260</v>
      </c>
      <c r="TRE82">
        <v>131</v>
      </c>
      <c r="TRF82" t="s">
        <v>261</v>
      </c>
      <c r="TRG82">
        <v>54018</v>
      </c>
      <c r="TRH82">
        <v>0</v>
      </c>
      <c r="TRI82">
        <v>7076358</v>
      </c>
      <c r="TRJ82" t="s">
        <v>262</v>
      </c>
      <c r="TRK82" t="s">
        <v>196</v>
      </c>
      <c r="TRL82">
        <v>53248</v>
      </c>
      <c r="TRM82" t="s">
        <v>260</v>
      </c>
      <c r="TRN82">
        <v>44048</v>
      </c>
      <c r="TRO82">
        <v>44048</v>
      </c>
      <c r="TRP82">
        <v>7076358</v>
      </c>
      <c r="TRQ82">
        <v>0</v>
      </c>
      <c r="TRR82" t="s">
        <v>254</v>
      </c>
      <c r="TRS82">
        <v>830037946</v>
      </c>
      <c r="TRT82" t="s">
        <v>260</v>
      </c>
      <c r="TRU82">
        <v>131</v>
      </c>
      <c r="TRV82" t="s">
        <v>261</v>
      </c>
      <c r="TRW82">
        <v>54018</v>
      </c>
      <c r="TRX82">
        <v>0</v>
      </c>
      <c r="TRY82">
        <v>7076358</v>
      </c>
      <c r="TRZ82" t="s">
        <v>262</v>
      </c>
      <c r="TSA82" t="s">
        <v>196</v>
      </c>
      <c r="TSB82">
        <v>53248</v>
      </c>
      <c r="TSC82" t="s">
        <v>260</v>
      </c>
      <c r="TSD82">
        <v>44048</v>
      </c>
      <c r="TSE82">
        <v>44048</v>
      </c>
      <c r="TSF82">
        <v>7076358</v>
      </c>
      <c r="TSG82">
        <v>0</v>
      </c>
      <c r="TSH82" t="s">
        <v>254</v>
      </c>
      <c r="TSI82">
        <v>830037946</v>
      </c>
      <c r="TSJ82" t="s">
        <v>260</v>
      </c>
      <c r="TSK82">
        <v>131</v>
      </c>
      <c r="TSL82" t="s">
        <v>261</v>
      </c>
      <c r="TSM82">
        <v>54018</v>
      </c>
      <c r="TSN82">
        <v>0</v>
      </c>
      <c r="TSO82">
        <v>7076358</v>
      </c>
      <c r="TSP82" t="s">
        <v>262</v>
      </c>
      <c r="TSQ82" t="s">
        <v>196</v>
      </c>
      <c r="TSR82">
        <v>53248</v>
      </c>
      <c r="TSS82" t="s">
        <v>260</v>
      </c>
      <c r="TST82">
        <v>44048</v>
      </c>
      <c r="TSU82">
        <v>44048</v>
      </c>
      <c r="TSV82">
        <v>7076358</v>
      </c>
      <c r="TSW82">
        <v>0</v>
      </c>
      <c r="TSX82" t="s">
        <v>254</v>
      </c>
      <c r="TSY82">
        <v>830037946</v>
      </c>
      <c r="TSZ82" t="s">
        <v>260</v>
      </c>
      <c r="TTA82">
        <v>131</v>
      </c>
      <c r="TTB82" t="s">
        <v>261</v>
      </c>
      <c r="TTC82">
        <v>54018</v>
      </c>
      <c r="TTD82">
        <v>0</v>
      </c>
      <c r="TTE82">
        <v>7076358</v>
      </c>
      <c r="TTF82" t="s">
        <v>262</v>
      </c>
      <c r="TTG82" t="s">
        <v>196</v>
      </c>
      <c r="TTH82">
        <v>53248</v>
      </c>
      <c r="TTI82" t="s">
        <v>260</v>
      </c>
      <c r="TTJ82">
        <v>44048</v>
      </c>
      <c r="TTK82">
        <v>44048</v>
      </c>
      <c r="TTL82">
        <v>7076358</v>
      </c>
      <c r="TTM82">
        <v>0</v>
      </c>
      <c r="TTN82" t="s">
        <v>254</v>
      </c>
      <c r="TTO82">
        <v>830037946</v>
      </c>
      <c r="TTP82" t="s">
        <v>260</v>
      </c>
      <c r="TTQ82">
        <v>131</v>
      </c>
      <c r="TTR82" t="s">
        <v>261</v>
      </c>
      <c r="TTS82">
        <v>54018</v>
      </c>
      <c r="TTT82">
        <v>0</v>
      </c>
      <c r="TTU82">
        <v>7076358</v>
      </c>
      <c r="TTV82" t="s">
        <v>262</v>
      </c>
      <c r="TTW82" t="s">
        <v>196</v>
      </c>
      <c r="TTX82">
        <v>53248</v>
      </c>
      <c r="TTY82" t="s">
        <v>260</v>
      </c>
      <c r="TTZ82">
        <v>44048</v>
      </c>
      <c r="TUA82">
        <v>44048</v>
      </c>
      <c r="TUB82">
        <v>7076358</v>
      </c>
      <c r="TUC82">
        <v>0</v>
      </c>
      <c r="TUD82" t="s">
        <v>254</v>
      </c>
      <c r="TUE82">
        <v>830037946</v>
      </c>
      <c r="TUF82" t="s">
        <v>260</v>
      </c>
      <c r="TUG82">
        <v>131</v>
      </c>
      <c r="TUH82" t="s">
        <v>261</v>
      </c>
      <c r="TUI82">
        <v>54018</v>
      </c>
      <c r="TUJ82">
        <v>0</v>
      </c>
      <c r="TUK82">
        <v>7076358</v>
      </c>
      <c r="TUL82" t="s">
        <v>262</v>
      </c>
      <c r="TUM82" t="s">
        <v>196</v>
      </c>
      <c r="TUN82">
        <v>53248</v>
      </c>
      <c r="TUO82" t="s">
        <v>260</v>
      </c>
      <c r="TUP82">
        <v>44048</v>
      </c>
      <c r="TUQ82">
        <v>44048</v>
      </c>
      <c r="TUR82">
        <v>7076358</v>
      </c>
      <c r="TUS82">
        <v>0</v>
      </c>
      <c r="TUT82" t="s">
        <v>254</v>
      </c>
      <c r="TUU82">
        <v>830037946</v>
      </c>
      <c r="TUV82" t="s">
        <v>260</v>
      </c>
      <c r="TUW82">
        <v>131</v>
      </c>
      <c r="TUX82" t="s">
        <v>261</v>
      </c>
      <c r="TUY82">
        <v>54018</v>
      </c>
      <c r="TUZ82">
        <v>0</v>
      </c>
      <c r="TVA82">
        <v>7076358</v>
      </c>
      <c r="TVB82" t="s">
        <v>262</v>
      </c>
      <c r="TVC82" t="s">
        <v>196</v>
      </c>
      <c r="TVD82">
        <v>53248</v>
      </c>
      <c r="TVE82" t="s">
        <v>260</v>
      </c>
      <c r="TVF82">
        <v>44048</v>
      </c>
      <c r="TVG82">
        <v>44048</v>
      </c>
      <c r="TVH82">
        <v>7076358</v>
      </c>
      <c r="TVI82">
        <v>0</v>
      </c>
      <c r="TVJ82" t="s">
        <v>254</v>
      </c>
      <c r="TVK82">
        <v>830037946</v>
      </c>
      <c r="TVL82" t="s">
        <v>260</v>
      </c>
      <c r="TVM82">
        <v>131</v>
      </c>
      <c r="TVN82" t="s">
        <v>261</v>
      </c>
      <c r="TVO82">
        <v>54018</v>
      </c>
      <c r="TVP82">
        <v>0</v>
      </c>
      <c r="TVQ82">
        <v>7076358</v>
      </c>
      <c r="TVR82" t="s">
        <v>262</v>
      </c>
      <c r="TVS82" t="s">
        <v>196</v>
      </c>
      <c r="TVT82">
        <v>53248</v>
      </c>
      <c r="TVU82" t="s">
        <v>260</v>
      </c>
      <c r="TVV82">
        <v>44048</v>
      </c>
      <c r="TVW82">
        <v>44048</v>
      </c>
      <c r="TVX82">
        <v>7076358</v>
      </c>
      <c r="TVY82">
        <v>0</v>
      </c>
      <c r="TVZ82" t="s">
        <v>254</v>
      </c>
      <c r="TWA82">
        <v>830037946</v>
      </c>
      <c r="TWB82" t="s">
        <v>260</v>
      </c>
      <c r="TWC82">
        <v>131</v>
      </c>
      <c r="TWD82" t="s">
        <v>261</v>
      </c>
      <c r="TWE82">
        <v>54018</v>
      </c>
      <c r="TWF82">
        <v>0</v>
      </c>
      <c r="TWG82">
        <v>7076358</v>
      </c>
      <c r="TWH82" t="s">
        <v>262</v>
      </c>
      <c r="TWI82" t="s">
        <v>196</v>
      </c>
      <c r="TWJ82">
        <v>53248</v>
      </c>
      <c r="TWK82" t="s">
        <v>260</v>
      </c>
      <c r="TWL82">
        <v>44048</v>
      </c>
      <c r="TWM82">
        <v>44048</v>
      </c>
      <c r="TWN82">
        <v>7076358</v>
      </c>
      <c r="TWO82">
        <v>0</v>
      </c>
      <c r="TWP82" t="s">
        <v>254</v>
      </c>
      <c r="TWQ82">
        <v>830037946</v>
      </c>
      <c r="TWR82" t="s">
        <v>260</v>
      </c>
      <c r="TWS82">
        <v>131</v>
      </c>
      <c r="TWT82" t="s">
        <v>261</v>
      </c>
      <c r="TWU82">
        <v>54018</v>
      </c>
      <c r="TWV82">
        <v>0</v>
      </c>
      <c r="TWW82">
        <v>7076358</v>
      </c>
      <c r="TWX82" t="s">
        <v>262</v>
      </c>
      <c r="TWY82" t="s">
        <v>196</v>
      </c>
      <c r="TWZ82">
        <v>53248</v>
      </c>
      <c r="TXA82" t="s">
        <v>260</v>
      </c>
      <c r="TXB82">
        <v>44048</v>
      </c>
      <c r="TXC82">
        <v>44048</v>
      </c>
      <c r="TXD82">
        <v>7076358</v>
      </c>
      <c r="TXE82">
        <v>0</v>
      </c>
      <c r="TXF82" t="s">
        <v>254</v>
      </c>
      <c r="TXG82">
        <v>830037946</v>
      </c>
      <c r="TXH82" t="s">
        <v>260</v>
      </c>
      <c r="TXI82">
        <v>131</v>
      </c>
      <c r="TXJ82" t="s">
        <v>261</v>
      </c>
      <c r="TXK82">
        <v>54018</v>
      </c>
      <c r="TXL82">
        <v>0</v>
      </c>
      <c r="TXM82">
        <v>7076358</v>
      </c>
      <c r="TXN82" t="s">
        <v>262</v>
      </c>
      <c r="TXO82" t="s">
        <v>196</v>
      </c>
      <c r="TXP82">
        <v>53248</v>
      </c>
      <c r="TXQ82" t="s">
        <v>260</v>
      </c>
      <c r="TXR82">
        <v>44048</v>
      </c>
      <c r="TXS82">
        <v>44048</v>
      </c>
      <c r="TXT82">
        <v>7076358</v>
      </c>
      <c r="TXU82">
        <v>0</v>
      </c>
      <c r="TXV82" t="s">
        <v>254</v>
      </c>
      <c r="TXW82">
        <v>830037946</v>
      </c>
      <c r="TXX82" t="s">
        <v>260</v>
      </c>
      <c r="TXY82">
        <v>131</v>
      </c>
      <c r="TXZ82" t="s">
        <v>261</v>
      </c>
      <c r="TYA82">
        <v>54018</v>
      </c>
      <c r="TYB82">
        <v>0</v>
      </c>
      <c r="TYC82">
        <v>7076358</v>
      </c>
      <c r="TYD82" t="s">
        <v>262</v>
      </c>
      <c r="TYE82" t="s">
        <v>196</v>
      </c>
      <c r="TYF82">
        <v>53248</v>
      </c>
      <c r="TYG82" t="s">
        <v>260</v>
      </c>
      <c r="TYH82">
        <v>44048</v>
      </c>
      <c r="TYI82">
        <v>44048</v>
      </c>
      <c r="TYJ82">
        <v>7076358</v>
      </c>
      <c r="TYK82">
        <v>0</v>
      </c>
      <c r="TYL82" t="s">
        <v>254</v>
      </c>
      <c r="TYM82">
        <v>830037946</v>
      </c>
      <c r="TYN82" t="s">
        <v>260</v>
      </c>
      <c r="TYO82">
        <v>131</v>
      </c>
      <c r="TYP82" t="s">
        <v>261</v>
      </c>
      <c r="TYQ82">
        <v>54018</v>
      </c>
      <c r="TYR82">
        <v>0</v>
      </c>
      <c r="TYS82">
        <v>7076358</v>
      </c>
      <c r="TYT82" t="s">
        <v>262</v>
      </c>
      <c r="TYU82" t="s">
        <v>196</v>
      </c>
      <c r="TYV82">
        <v>53248</v>
      </c>
      <c r="TYW82" t="s">
        <v>260</v>
      </c>
      <c r="TYX82">
        <v>44048</v>
      </c>
      <c r="TYY82">
        <v>44048</v>
      </c>
      <c r="TYZ82">
        <v>7076358</v>
      </c>
      <c r="TZA82">
        <v>0</v>
      </c>
      <c r="TZB82" t="s">
        <v>254</v>
      </c>
      <c r="TZC82">
        <v>830037946</v>
      </c>
      <c r="TZD82" t="s">
        <v>260</v>
      </c>
      <c r="TZE82">
        <v>131</v>
      </c>
      <c r="TZF82" t="s">
        <v>261</v>
      </c>
      <c r="TZG82">
        <v>54018</v>
      </c>
      <c r="TZH82">
        <v>0</v>
      </c>
      <c r="TZI82">
        <v>7076358</v>
      </c>
      <c r="TZJ82" t="s">
        <v>262</v>
      </c>
      <c r="TZK82" t="s">
        <v>196</v>
      </c>
      <c r="TZL82">
        <v>53248</v>
      </c>
      <c r="TZM82" t="s">
        <v>260</v>
      </c>
      <c r="TZN82">
        <v>44048</v>
      </c>
      <c r="TZO82">
        <v>44048</v>
      </c>
      <c r="TZP82">
        <v>7076358</v>
      </c>
      <c r="TZQ82">
        <v>0</v>
      </c>
      <c r="TZR82" t="s">
        <v>254</v>
      </c>
      <c r="TZS82">
        <v>830037946</v>
      </c>
      <c r="TZT82" t="s">
        <v>260</v>
      </c>
      <c r="TZU82">
        <v>131</v>
      </c>
      <c r="TZV82" t="s">
        <v>261</v>
      </c>
      <c r="TZW82">
        <v>54018</v>
      </c>
      <c r="TZX82">
        <v>0</v>
      </c>
      <c r="TZY82">
        <v>7076358</v>
      </c>
      <c r="TZZ82" t="s">
        <v>262</v>
      </c>
      <c r="UAA82" t="s">
        <v>196</v>
      </c>
      <c r="UAB82">
        <v>53248</v>
      </c>
      <c r="UAC82" t="s">
        <v>260</v>
      </c>
      <c r="UAD82">
        <v>44048</v>
      </c>
      <c r="UAE82">
        <v>44048</v>
      </c>
      <c r="UAF82">
        <v>7076358</v>
      </c>
      <c r="UAG82">
        <v>0</v>
      </c>
      <c r="UAH82" t="s">
        <v>254</v>
      </c>
      <c r="UAI82">
        <v>830037946</v>
      </c>
      <c r="UAJ82" t="s">
        <v>260</v>
      </c>
      <c r="UAK82">
        <v>131</v>
      </c>
      <c r="UAL82" t="s">
        <v>261</v>
      </c>
      <c r="UAM82">
        <v>54018</v>
      </c>
      <c r="UAN82">
        <v>0</v>
      </c>
      <c r="UAO82">
        <v>7076358</v>
      </c>
      <c r="UAP82" t="s">
        <v>262</v>
      </c>
      <c r="UAQ82" t="s">
        <v>196</v>
      </c>
      <c r="UAR82">
        <v>53248</v>
      </c>
      <c r="UAS82" t="s">
        <v>260</v>
      </c>
      <c r="UAT82">
        <v>44048</v>
      </c>
      <c r="UAU82">
        <v>44048</v>
      </c>
      <c r="UAV82">
        <v>7076358</v>
      </c>
      <c r="UAW82">
        <v>0</v>
      </c>
      <c r="UAX82" t="s">
        <v>254</v>
      </c>
      <c r="UAY82">
        <v>830037946</v>
      </c>
      <c r="UAZ82" t="s">
        <v>260</v>
      </c>
      <c r="UBA82">
        <v>131</v>
      </c>
      <c r="UBB82" t="s">
        <v>261</v>
      </c>
      <c r="UBC82">
        <v>54018</v>
      </c>
      <c r="UBD82">
        <v>0</v>
      </c>
      <c r="UBE82">
        <v>7076358</v>
      </c>
      <c r="UBF82" t="s">
        <v>262</v>
      </c>
      <c r="UBG82" t="s">
        <v>196</v>
      </c>
      <c r="UBH82">
        <v>53248</v>
      </c>
      <c r="UBI82" t="s">
        <v>260</v>
      </c>
      <c r="UBJ82">
        <v>44048</v>
      </c>
      <c r="UBK82">
        <v>44048</v>
      </c>
      <c r="UBL82">
        <v>7076358</v>
      </c>
      <c r="UBM82">
        <v>0</v>
      </c>
      <c r="UBN82" t="s">
        <v>254</v>
      </c>
      <c r="UBO82">
        <v>830037946</v>
      </c>
      <c r="UBP82" t="s">
        <v>260</v>
      </c>
      <c r="UBQ82">
        <v>131</v>
      </c>
      <c r="UBR82" t="s">
        <v>261</v>
      </c>
      <c r="UBS82">
        <v>54018</v>
      </c>
      <c r="UBT82">
        <v>0</v>
      </c>
      <c r="UBU82">
        <v>7076358</v>
      </c>
      <c r="UBV82" t="s">
        <v>262</v>
      </c>
      <c r="UBW82" t="s">
        <v>196</v>
      </c>
      <c r="UBX82">
        <v>53248</v>
      </c>
      <c r="UBY82" t="s">
        <v>260</v>
      </c>
      <c r="UBZ82">
        <v>44048</v>
      </c>
      <c r="UCA82">
        <v>44048</v>
      </c>
      <c r="UCB82">
        <v>7076358</v>
      </c>
      <c r="UCC82">
        <v>0</v>
      </c>
      <c r="UCD82" t="s">
        <v>254</v>
      </c>
      <c r="UCE82">
        <v>830037946</v>
      </c>
      <c r="UCF82" t="s">
        <v>260</v>
      </c>
      <c r="UCG82">
        <v>131</v>
      </c>
      <c r="UCH82" t="s">
        <v>261</v>
      </c>
      <c r="UCI82">
        <v>54018</v>
      </c>
      <c r="UCJ82">
        <v>0</v>
      </c>
      <c r="UCK82">
        <v>7076358</v>
      </c>
      <c r="UCL82" t="s">
        <v>262</v>
      </c>
      <c r="UCM82" t="s">
        <v>196</v>
      </c>
      <c r="UCN82">
        <v>53248</v>
      </c>
      <c r="UCO82" t="s">
        <v>260</v>
      </c>
      <c r="UCP82">
        <v>44048</v>
      </c>
      <c r="UCQ82">
        <v>44048</v>
      </c>
      <c r="UCR82">
        <v>7076358</v>
      </c>
      <c r="UCS82">
        <v>0</v>
      </c>
      <c r="UCT82" t="s">
        <v>254</v>
      </c>
      <c r="UCU82">
        <v>830037946</v>
      </c>
      <c r="UCV82" t="s">
        <v>260</v>
      </c>
      <c r="UCW82">
        <v>131</v>
      </c>
      <c r="UCX82" t="s">
        <v>261</v>
      </c>
      <c r="UCY82">
        <v>54018</v>
      </c>
      <c r="UCZ82">
        <v>0</v>
      </c>
      <c r="UDA82">
        <v>7076358</v>
      </c>
      <c r="UDB82" t="s">
        <v>262</v>
      </c>
      <c r="UDC82" t="s">
        <v>196</v>
      </c>
      <c r="UDD82">
        <v>53248</v>
      </c>
      <c r="UDE82" t="s">
        <v>260</v>
      </c>
      <c r="UDF82">
        <v>44048</v>
      </c>
      <c r="UDG82">
        <v>44048</v>
      </c>
      <c r="UDH82">
        <v>7076358</v>
      </c>
      <c r="UDI82">
        <v>0</v>
      </c>
      <c r="UDJ82" t="s">
        <v>254</v>
      </c>
      <c r="UDK82">
        <v>830037946</v>
      </c>
      <c r="UDL82" t="s">
        <v>260</v>
      </c>
      <c r="UDM82">
        <v>131</v>
      </c>
      <c r="UDN82" t="s">
        <v>261</v>
      </c>
      <c r="UDO82">
        <v>54018</v>
      </c>
      <c r="UDP82">
        <v>0</v>
      </c>
      <c r="UDQ82">
        <v>7076358</v>
      </c>
      <c r="UDR82" t="s">
        <v>262</v>
      </c>
      <c r="UDS82" t="s">
        <v>196</v>
      </c>
      <c r="UDT82">
        <v>53248</v>
      </c>
      <c r="UDU82" t="s">
        <v>260</v>
      </c>
      <c r="UDV82">
        <v>44048</v>
      </c>
      <c r="UDW82">
        <v>44048</v>
      </c>
      <c r="UDX82">
        <v>7076358</v>
      </c>
      <c r="UDY82">
        <v>0</v>
      </c>
      <c r="UDZ82" t="s">
        <v>254</v>
      </c>
      <c r="UEA82">
        <v>830037946</v>
      </c>
      <c r="UEB82" t="s">
        <v>260</v>
      </c>
      <c r="UEC82">
        <v>131</v>
      </c>
      <c r="UED82" t="s">
        <v>261</v>
      </c>
      <c r="UEE82">
        <v>54018</v>
      </c>
      <c r="UEF82">
        <v>0</v>
      </c>
      <c r="UEG82">
        <v>7076358</v>
      </c>
      <c r="UEH82" t="s">
        <v>262</v>
      </c>
      <c r="UEI82" t="s">
        <v>196</v>
      </c>
      <c r="UEJ82">
        <v>53248</v>
      </c>
      <c r="UEK82" t="s">
        <v>260</v>
      </c>
      <c r="UEL82">
        <v>44048</v>
      </c>
      <c r="UEM82">
        <v>44048</v>
      </c>
      <c r="UEN82">
        <v>7076358</v>
      </c>
      <c r="UEO82">
        <v>0</v>
      </c>
      <c r="UEP82" t="s">
        <v>254</v>
      </c>
      <c r="UEQ82">
        <v>830037946</v>
      </c>
      <c r="UER82" t="s">
        <v>260</v>
      </c>
      <c r="UES82">
        <v>131</v>
      </c>
      <c r="UET82" t="s">
        <v>261</v>
      </c>
      <c r="UEU82">
        <v>54018</v>
      </c>
      <c r="UEV82">
        <v>0</v>
      </c>
      <c r="UEW82">
        <v>7076358</v>
      </c>
      <c r="UEX82" t="s">
        <v>262</v>
      </c>
      <c r="UEY82" t="s">
        <v>196</v>
      </c>
      <c r="UEZ82">
        <v>53248</v>
      </c>
      <c r="UFA82" t="s">
        <v>260</v>
      </c>
      <c r="UFB82">
        <v>44048</v>
      </c>
      <c r="UFC82">
        <v>44048</v>
      </c>
      <c r="UFD82">
        <v>7076358</v>
      </c>
      <c r="UFE82">
        <v>0</v>
      </c>
      <c r="UFF82" t="s">
        <v>254</v>
      </c>
      <c r="UFG82">
        <v>830037946</v>
      </c>
      <c r="UFH82" t="s">
        <v>260</v>
      </c>
      <c r="UFI82">
        <v>131</v>
      </c>
      <c r="UFJ82" t="s">
        <v>261</v>
      </c>
      <c r="UFK82">
        <v>54018</v>
      </c>
      <c r="UFL82">
        <v>0</v>
      </c>
      <c r="UFM82">
        <v>7076358</v>
      </c>
      <c r="UFN82" t="s">
        <v>262</v>
      </c>
      <c r="UFO82" t="s">
        <v>196</v>
      </c>
      <c r="UFP82">
        <v>53248</v>
      </c>
      <c r="UFQ82" t="s">
        <v>260</v>
      </c>
      <c r="UFR82">
        <v>44048</v>
      </c>
      <c r="UFS82">
        <v>44048</v>
      </c>
      <c r="UFT82">
        <v>7076358</v>
      </c>
      <c r="UFU82">
        <v>0</v>
      </c>
      <c r="UFV82" t="s">
        <v>254</v>
      </c>
      <c r="UFW82">
        <v>830037946</v>
      </c>
      <c r="UFX82" t="s">
        <v>260</v>
      </c>
      <c r="UFY82">
        <v>131</v>
      </c>
      <c r="UFZ82" t="s">
        <v>261</v>
      </c>
      <c r="UGA82">
        <v>54018</v>
      </c>
      <c r="UGB82">
        <v>0</v>
      </c>
      <c r="UGC82">
        <v>7076358</v>
      </c>
      <c r="UGD82" t="s">
        <v>262</v>
      </c>
      <c r="UGE82" t="s">
        <v>196</v>
      </c>
      <c r="UGF82">
        <v>53248</v>
      </c>
      <c r="UGG82" t="s">
        <v>260</v>
      </c>
      <c r="UGH82">
        <v>44048</v>
      </c>
      <c r="UGI82">
        <v>44048</v>
      </c>
      <c r="UGJ82">
        <v>7076358</v>
      </c>
      <c r="UGK82">
        <v>0</v>
      </c>
      <c r="UGL82" t="s">
        <v>254</v>
      </c>
      <c r="UGM82">
        <v>830037946</v>
      </c>
      <c r="UGN82" t="s">
        <v>260</v>
      </c>
      <c r="UGO82">
        <v>131</v>
      </c>
      <c r="UGP82" t="s">
        <v>261</v>
      </c>
      <c r="UGQ82">
        <v>54018</v>
      </c>
      <c r="UGR82">
        <v>0</v>
      </c>
      <c r="UGS82">
        <v>7076358</v>
      </c>
      <c r="UGT82" t="s">
        <v>262</v>
      </c>
      <c r="UGU82" t="s">
        <v>196</v>
      </c>
      <c r="UGV82">
        <v>53248</v>
      </c>
      <c r="UGW82" t="s">
        <v>260</v>
      </c>
      <c r="UGX82">
        <v>44048</v>
      </c>
      <c r="UGY82">
        <v>44048</v>
      </c>
      <c r="UGZ82">
        <v>7076358</v>
      </c>
      <c r="UHA82">
        <v>0</v>
      </c>
      <c r="UHB82" t="s">
        <v>254</v>
      </c>
      <c r="UHC82">
        <v>830037946</v>
      </c>
      <c r="UHD82" t="s">
        <v>260</v>
      </c>
      <c r="UHE82">
        <v>131</v>
      </c>
      <c r="UHF82" t="s">
        <v>261</v>
      </c>
      <c r="UHG82">
        <v>54018</v>
      </c>
      <c r="UHH82">
        <v>0</v>
      </c>
      <c r="UHI82">
        <v>7076358</v>
      </c>
      <c r="UHJ82" t="s">
        <v>262</v>
      </c>
      <c r="UHK82" t="s">
        <v>196</v>
      </c>
      <c r="UHL82">
        <v>53248</v>
      </c>
      <c r="UHM82" t="s">
        <v>260</v>
      </c>
      <c r="UHN82">
        <v>44048</v>
      </c>
    </row>
    <row r="83" spans="1:1448 2892:14418" x14ac:dyDescent="0.3">
      <c r="A83" s="9" t="s">
        <v>196</v>
      </c>
      <c r="B83" s="10" t="s">
        <v>1991</v>
      </c>
      <c r="C83" s="11" t="s">
        <v>1758</v>
      </c>
      <c r="D83" s="12">
        <v>44055</v>
      </c>
      <c r="E83" s="12">
        <v>44062</v>
      </c>
      <c r="F83" s="13">
        <v>3443622</v>
      </c>
      <c r="G83" s="14">
        <v>0</v>
      </c>
      <c r="H83" s="9" t="s">
        <v>263</v>
      </c>
      <c r="I83" s="15">
        <v>805018905</v>
      </c>
      <c r="J83" s="16" t="s">
        <v>1848</v>
      </c>
      <c r="K83" s="17">
        <v>150</v>
      </c>
      <c r="L83" s="18" t="s">
        <v>21</v>
      </c>
      <c r="M83" s="19">
        <v>19292</v>
      </c>
      <c r="N83" s="19">
        <f t="shared" ref="N83:N84" si="8">M83*0.19</f>
        <v>3665.48</v>
      </c>
      <c r="O83" s="19">
        <f t="shared" si="7"/>
        <v>3443622</v>
      </c>
      <c r="P83" s="17" t="s">
        <v>1948</v>
      </c>
      <c r="R83" s="31"/>
    </row>
    <row r="84" spans="1:1448 2892:14418" x14ac:dyDescent="0.3">
      <c r="A84" s="9" t="s">
        <v>196</v>
      </c>
      <c r="B84" s="10" t="s">
        <v>1992</v>
      </c>
      <c r="C84" s="11" t="s">
        <v>1759</v>
      </c>
      <c r="D84" s="12">
        <v>44083</v>
      </c>
      <c r="E84" s="12">
        <v>44083</v>
      </c>
      <c r="F84" s="13">
        <v>3614232</v>
      </c>
      <c r="G84" s="14">
        <v>0</v>
      </c>
      <c r="H84" s="9" t="s">
        <v>263</v>
      </c>
      <c r="I84" s="15">
        <v>805018905</v>
      </c>
      <c r="J84" s="16" t="s">
        <v>1848</v>
      </c>
      <c r="K84" s="17">
        <v>290</v>
      </c>
      <c r="L84" s="18" t="s">
        <v>21</v>
      </c>
      <c r="M84" s="19">
        <v>10473</v>
      </c>
      <c r="N84" s="19">
        <f t="shared" si="8"/>
        <v>1989.8700000000001</v>
      </c>
      <c r="O84" s="19">
        <f t="shared" si="7"/>
        <v>3614232.3000000003</v>
      </c>
      <c r="P84" s="17" t="s">
        <v>1948</v>
      </c>
      <c r="R84" s="31"/>
    </row>
    <row r="85" spans="1:1448 2892:14418" x14ac:dyDescent="0.3">
      <c r="A85" s="9" t="s">
        <v>196</v>
      </c>
      <c r="B85" s="10" t="s">
        <v>1993</v>
      </c>
      <c r="C85" s="11" t="s">
        <v>1760</v>
      </c>
      <c r="D85" s="12">
        <v>44085</v>
      </c>
      <c r="E85" s="12">
        <v>44085</v>
      </c>
      <c r="F85" s="13">
        <v>6664000</v>
      </c>
      <c r="G85" s="14">
        <v>0</v>
      </c>
      <c r="H85" s="9" t="s">
        <v>265</v>
      </c>
      <c r="I85" s="15">
        <v>860007336</v>
      </c>
      <c r="J85" s="16" t="s">
        <v>1849</v>
      </c>
      <c r="K85" s="17">
        <v>34</v>
      </c>
      <c r="L85" s="18" t="s">
        <v>264</v>
      </c>
      <c r="M85" s="19">
        <v>196000</v>
      </c>
      <c r="N85" s="19">
        <v>0</v>
      </c>
      <c r="O85" s="19">
        <f t="shared" si="7"/>
        <v>6664000</v>
      </c>
      <c r="P85" s="17" t="s">
        <v>328</v>
      </c>
      <c r="R85" s="31"/>
    </row>
    <row r="86" spans="1:1448 2892:14418" x14ac:dyDescent="0.3">
      <c r="A86" s="9" t="s">
        <v>196</v>
      </c>
      <c r="B86" s="10" t="s">
        <v>1994</v>
      </c>
      <c r="C86" s="11" t="s">
        <v>1761</v>
      </c>
      <c r="D86" s="12">
        <v>44098</v>
      </c>
      <c r="E86" s="12">
        <v>44098</v>
      </c>
      <c r="F86" s="13">
        <v>74998626</v>
      </c>
      <c r="G86" s="14">
        <v>0</v>
      </c>
      <c r="H86" s="9" t="s">
        <v>266</v>
      </c>
      <c r="I86" s="15">
        <v>830037278</v>
      </c>
      <c r="J86" s="16" t="s">
        <v>1753</v>
      </c>
      <c r="K86" s="17">
        <v>113</v>
      </c>
      <c r="L86" s="18" t="s">
        <v>92</v>
      </c>
      <c r="M86" s="19">
        <v>185911.666</v>
      </c>
      <c r="N86" s="19">
        <f>M86*0.19</f>
        <v>35323.216540000001</v>
      </c>
      <c r="O86" s="19">
        <f>K86*(M86+N86)*3</f>
        <v>74998625.181060001</v>
      </c>
      <c r="P86" s="17" t="s">
        <v>229</v>
      </c>
      <c r="R86" s="31"/>
    </row>
    <row r="87" spans="1:1448 2892:14418" x14ac:dyDescent="0.3">
      <c r="A87" s="9" t="s">
        <v>196</v>
      </c>
      <c r="B87" s="10" t="s">
        <v>1995</v>
      </c>
      <c r="C87" s="11" t="s">
        <v>1762</v>
      </c>
      <c r="D87" s="12">
        <v>44104</v>
      </c>
      <c r="E87" s="12">
        <v>44104</v>
      </c>
      <c r="F87" s="13">
        <v>78930000</v>
      </c>
      <c r="G87" s="14">
        <v>0</v>
      </c>
      <c r="H87" s="9" t="s">
        <v>267</v>
      </c>
      <c r="I87" s="15">
        <v>805023817</v>
      </c>
      <c r="J87" s="16" t="s">
        <v>1850</v>
      </c>
      <c r="K87" s="17">
        <f>21300/2</f>
        <v>10650</v>
      </c>
      <c r="L87" s="18" t="s">
        <v>36</v>
      </c>
      <c r="M87" s="19">
        <f>3600*2</f>
        <v>7200</v>
      </c>
      <c r="N87" s="19">
        <v>0</v>
      </c>
      <c r="O87" s="19">
        <f t="shared" si="7"/>
        <v>76680000</v>
      </c>
      <c r="P87" s="17" t="s">
        <v>37</v>
      </c>
      <c r="R87" s="31"/>
    </row>
    <row r="88" spans="1:1448 2892:14418" x14ac:dyDescent="0.3">
      <c r="A88" s="9" t="s">
        <v>196</v>
      </c>
      <c r="B88" s="10" t="s">
        <v>1996</v>
      </c>
      <c r="C88" s="11" t="s">
        <v>1763</v>
      </c>
      <c r="D88" s="12">
        <v>44105</v>
      </c>
      <c r="E88" s="12">
        <v>44105</v>
      </c>
      <c r="F88" s="13">
        <v>117963550</v>
      </c>
      <c r="G88" s="14">
        <v>0</v>
      </c>
      <c r="H88" s="9" t="s">
        <v>268</v>
      </c>
      <c r="I88" s="15">
        <v>900141375</v>
      </c>
      <c r="J88" s="16" t="s">
        <v>1763</v>
      </c>
      <c r="K88" s="17">
        <v>21300</v>
      </c>
      <c r="L88" s="18" t="s">
        <v>21</v>
      </c>
      <c r="M88" s="19">
        <v>4653.9452400678583</v>
      </c>
      <c r="N88" s="19">
        <f>M88*0.19</f>
        <v>884.24959561289313</v>
      </c>
      <c r="O88" s="19">
        <f t="shared" si="7"/>
        <v>117963550.00000001</v>
      </c>
      <c r="P88" s="17" t="s">
        <v>82</v>
      </c>
      <c r="R88" s="31"/>
    </row>
    <row r="89" spans="1:1448 2892:14418" x14ac:dyDescent="0.3">
      <c r="A89" s="9" t="s">
        <v>196</v>
      </c>
      <c r="B89" s="10" t="s">
        <v>1997</v>
      </c>
      <c r="C89" s="11" t="s">
        <v>1764</v>
      </c>
      <c r="D89" s="12">
        <v>44131</v>
      </c>
      <c r="E89" s="12">
        <v>44131</v>
      </c>
      <c r="F89" s="13">
        <v>87420000</v>
      </c>
      <c r="G89" s="14">
        <v>0</v>
      </c>
      <c r="H89" s="9" t="s">
        <v>269</v>
      </c>
      <c r="I89" s="15">
        <v>900330957</v>
      </c>
      <c r="J89" s="16" t="s">
        <v>49</v>
      </c>
      <c r="K89" s="17">
        <v>8100</v>
      </c>
      <c r="L89" s="18" t="s">
        <v>21</v>
      </c>
      <c r="M89" s="19">
        <v>10792.592592592593</v>
      </c>
      <c r="N89" s="19">
        <v>0</v>
      </c>
      <c r="O89" s="19">
        <f t="shared" si="7"/>
        <v>87420000</v>
      </c>
      <c r="P89" s="17" t="s">
        <v>31</v>
      </c>
      <c r="R89" s="31"/>
    </row>
    <row r="90" spans="1:1448 2892:14418" x14ac:dyDescent="0.3">
      <c r="A90" s="9" t="s">
        <v>196</v>
      </c>
      <c r="B90" s="10" t="s">
        <v>1998</v>
      </c>
      <c r="C90" s="11" t="s">
        <v>1765</v>
      </c>
      <c r="D90" s="12">
        <v>44144</v>
      </c>
      <c r="E90" s="12">
        <v>44144</v>
      </c>
      <c r="F90" s="13">
        <v>104615280</v>
      </c>
      <c r="G90" s="14">
        <v>0</v>
      </c>
      <c r="H90" s="9" t="s">
        <v>270</v>
      </c>
      <c r="I90" s="15">
        <v>830118348</v>
      </c>
      <c r="J90" s="16" t="s">
        <v>1752</v>
      </c>
      <c r="K90" s="17">
        <v>222</v>
      </c>
      <c r="L90" s="18" t="s">
        <v>92</v>
      </c>
      <c r="M90" s="19">
        <v>198000</v>
      </c>
      <c r="N90" s="19">
        <f>M90*0.19</f>
        <v>37620</v>
      </c>
      <c r="O90" s="19">
        <f>K90*(M90+N90)*2</f>
        <v>104615280</v>
      </c>
      <c r="P90" s="17" t="s">
        <v>229</v>
      </c>
      <c r="R90" s="31"/>
    </row>
    <row r="91" spans="1:1448 2892:14418" x14ac:dyDescent="0.3">
      <c r="A91" s="9" t="s">
        <v>196</v>
      </c>
      <c r="B91" s="10" t="s">
        <v>1999</v>
      </c>
      <c r="C91" s="11" t="s">
        <v>1766</v>
      </c>
      <c r="D91" s="12">
        <v>44145</v>
      </c>
      <c r="E91" s="12">
        <v>44145</v>
      </c>
      <c r="F91" s="13">
        <v>26298000</v>
      </c>
      <c r="G91" s="14">
        <v>0</v>
      </c>
      <c r="H91" s="9" t="s">
        <v>271</v>
      </c>
      <c r="I91" s="15">
        <v>800165862</v>
      </c>
      <c r="J91" s="16" t="s">
        <v>1851</v>
      </c>
      <c r="K91" s="17">
        <f>2000*3.75</f>
        <v>7500</v>
      </c>
      <c r="L91" s="18" t="s">
        <v>36</v>
      </c>
      <c r="M91" s="19">
        <f>12649/3.75</f>
        <v>3373.0666666666666</v>
      </c>
      <c r="N91" s="19">
        <v>0</v>
      </c>
      <c r="O91" s="19">
        <f t="shared" si="7"/>
        <v>25298000</v>
      </c>
      <c r="P91" s="17" t="s">
        <v>161</v>
      </c>
      <c r="R91" s="31"/>
    </row>
    <row r="92" spans="1:1448 2892:14418" x14ac:dyDescent="0.3">
      <c r="A92" s="9" t="s">
        <v>196</v>
      </c>
      <c r="B92" s="10" t="s">
        <v>2000</v>
      </c>
      <c r="C92" s="11" t="s">
        <v>1767</v>
      </c>
      <c r="D92" s="12">
        <v>44145</v>
      </c>
      <c r="E92" s="12">
        <v>44145</v>
      </c>
      <c r="F92" s="13">
        <v>18890000</v>
      </c>
      <c r="G92" s="14">
        <v>0</v>
      </c>
      <c r="H92" s="9" t="s">
        <v>60</v>
      </c>
      <c r="I92" s="15">
        <v>830001338</v>
      </c>
      <c r="J92" s="16" t="s">
        <v>1852</v>
      </c>
      <c r="K92" s="17">
        <f>+(5000*750)/1000</f>
        <v>3750</v>
      </c>
      <c r="L92" s="18" t="s">
        <v>36</v>
      </c>
      <c r="M92" s="19">
        <f>+(3678*1000)/750</f>
        <v>4904</v>
      </c>
      <c r="N92" s="19">
        <v>0</v>
      </c>
      <c r="O92" s="19">
        <f t="shared" si="7"/>
        <v>18390000</v>
      </c>
      <c r="P92" s="17" t="s">
        <v>161</v>
      </c>
      <c r="R92" s="31"/>
    </row>
    <row r="93" spans="1:1448 2892:14418" x14ac:dyDescent="0.3">
      <c r="A93" s="9" t="s">
        <v>196</v>
      </c>
      <c r="B93" s="10" t="s">
        <v>2001</v>
      </c>
      <c r="C93" s="11" t="s">
        <v>1768</v>
      </c>
      <c r="D93" s="12">
        <v>44145</v>
      </c>
      <c r="E93" s="12">
        <v>44145</v>
      </c>
      <c r="F93" s="13">
        <v>3457300</v>
      </c>
      <c r="G93" s="14">
        <v>0</v>
      </c>
      <c r="H93" s="9" t="s">
        <v>123</v>
      </c>
      <c r="I93" s="15">
        <v>900791672</v>
      </c>
      <c r="J93" s="16" t="s">
        <v>1853</v>
      </c>
      <c r="K93" s="17">
        <v>1500</v>
      </c>
      <c r="L93" s="18" t="s">
        <v>261</v>
      </c>
      <c r="M93" s="19">
        <v>2304.8666666666668</v>
      </c>
      <c r="N93" s="19">
        <v>0</v>
      </c>
      <c r="O93" s="19">
        <f t="shared" si="7"/>
        <v>3457300</v>
      </c>
      <c r="P93" s="17" t="s">
        <v>869</v>
      </c>
      <c r="R93" s="31"/>
    </row>
    <row r="94" spans="1:1448 2892:14418" x14ac:dyDescent="0.3">
      <c r="A94" s="9" t="s">
        <v>196</v>
      </c>
      <c r="B94" s="10" t="s">
        <v>2002</v>
      </c>
      <c r="C94" s="11" t="s">
        <v>1769</v>
      </c>
      <c r="D94" s="12">
        <v>44145</v>
      </c>
      <c r="E94" s="12">
        <v>44145</v>
      </c>
      <c r="F94" s="13">
        <v>49779524</v>
      </c>
      <c r="G94" s="14">
        <v>0</v>
      </c>
      <c r="H94" s="9" t="s">
        <v>272</v>
      </c>
      <c r="I94" s="15">
        <v>900671732</v>
      </c>
      <c r="J94" s="16" t="s">
        <v>1854</v>
      </c>
      <c r="K94" s="17">
        <v>400</v>
      </c>
      <c r="L94" s="18" t="s">
        <v>261</v>
      </c>
      <c r="M94" s="19">
        <v>104578.83193277312</v>
      </c>
      <c r="N94" s="19">
        <f>M94*0.19</f>
        <v>19869.978067226893</v>
      </c>
      <c r="O94" s="19">
        <f t="shared" si="7"/>
        <v>49779524.000000007</v>
      </c>
      <c r="P94" s="17" t="s">
        <v>328</v>
      </c>
      <c r="R94" s="31"/>
    </row>
    <row r="95" spans="1:1448 2892:14418" x14ac:dyDescent="0.3">
      <c r="A95" s="9" t="s">
        <v>196</v>
      </c>
      <c r="B95" s="10" t="s">
        <v>2003</v>
      </c>
      <c r="C95" s="11" t="s">
        <v>1770</v>
      </c>
      <c r="D95" s="12">
        <v>44145</v>
      </c>
      <c r="E95" s="12">
        <v>44145</v>
      </c>
      <c r="F95" s="13">
        <v>27729000</v>
      </c>
      <c r="G95" s="14">
        <v>0</v>
      </c>
      <c r="H95" s="9" t="s">
        <v>273</v>
      </c>
      <c r="I95" s="15">
        <v>901211678</v>
      </c>
      <c r="J95" s="16" t="s">
        <v>74</v>
      </c>
      <c r="K95" s="17">
        <v>10665</v>
      </c>
      <c r="L95" s="18" t="s">
        <v>21</v>
      </c>
      <c r="M95" s="19">
        <v>2600</v>
      </c>
      <c r="N95" s="19">
        <v>0</v>
      </c>
      <c r="O95" s="19">
        <f t="shared" si="7"/>
        <v>27729000</v>
      </c>
      <c r="P95" s="17" t="s">
        <v>75</v>
      </c>
      <c r="R95" s="31"/>
    </row>
    <row r="96" spans="1:1448 2892:14418" x14ac:dyDescent="0.3">
      <c r="A96" s="9" t="s">
        <v>196</v>
      </c>
      <c r="B96" s="10" t="s">
        <v>2004</v>
      </c>
      <c r="C96" s="11" t="s">
        <v>1771</v>
      </c>
      <c r="D96" s="12">
        <v>44145</v>
      </c>
      <c r="E96" s="12">
        <v>44145</v>
      </c>
      <c r="F96" s="13">
        <v>11304100</v>
      </c>
      <c r="G96" s="14">
        <v>0</v>
      </c>
      <c r="H96" s="9" t="s">
        <v>273</v>
      </c>
      <c r="I96" s="15">
        <v>901211678</v>
      </c>
      <c r="J96" s="16" t="s">
        <v>274</v>
      </c>
      <c r="K96" s="17">
        <v>1000</v>
      </c>
      <c r="L96" s="18" t="s">
        <v>21</v>
      </c>
      <c r="M96" s="19">
        <v>9390</v>
      </c>
      <c r="N96" s="19">
        <f t="shared" ref="N96:N98" si="9">M96*0.19</f>
        <v>1784.1</v>
      </c>
      <c r="O96" s="19">
        <f t="shared" si="7"/>
        <v>11174100</v>
      </c>
      <c r="P96" s="17" t="s">
        <v>257</v>
      </c>
      <c r="R96" s="31"/>
    </row>
    <row r="97" spans="1:18" x14ac:dyDescent="0.3">
      <c r="A97" s="9" t="s">
        <v>196</v>
      </c>
      <c r="B97" s="10" t="s">
        <v>2005</v>
      </c>
      <c r="C97" s="11" t="s">
        <v>1772</v>
      </c>
      <c r="D97" s="12">
        <v>44147</v>
      </c>
      <c r="E97" s="12">
        <v>44147</v>
      </c>
      <c r="F97" s="13">
        <v>11905000</v>
      </c>
      <c r="G97" s="14">
        <v>0</v>
      </c>
      <c r="H97" s="9" t="s">
        <v>275</v>
      </c>
      <c r="I97" s="15">
        <v>9011694079</v>
      </c>
      <c r="J97" s="16" t="s">
        <v>1855</v>
      </c>
      <c r="K97" s="17">
        <v>100</v>
      </c>
      <c r="L97" s="18" t="s">
        <v>261</v>
      </c>
      <c r="M97" s="19">
        <v>100042.01680672269</v>
      </c>
      <c r="N97" s="19">
        <f t="shared" si="9"/>
        <v>19007.983193277312</v>
      </c>
      <c r="O97" s="19">
        <f t="shared" si="7"/>
        <v>11905000</v>
      </c>
      <c r="P97" s="17" t="s">
        <v>328</v>
      </c>
      <c r="R97" s="31"/>
    </row>
    <row r="98" spans="1:18" x14ac:dyDescent="0.3">
      <c r="A98" s="9" t="s">
        <v>196</v>
      </c>
      <c r="B98" s="10" t="s">
        <v>2006</v>
      </c>
      <c r="C98" s="11" t="s">
        <v>1773</v>
      </c>
      <c r="D98" s="12">
        <v>44167</v>
      </c>
      <c r="E98" s="12">
        <v>44167</v>
      </c>
      <c r="F98" s="13">
        <v>240900000</v>
      </c>
      <c r="G98" s="14">
        <v>0</v>
      </c>
      <c r="H98" s="9" t="s">
        <v>268</v>
      </c>
      <c r="I98" s="15">
        <v>900141375</v>
      </c>
      <c r="J98" s="16" t="s">
        <v>276</v>
      </c>
      <c r="K98" s="17">
        <v>100000</v>
      </c>
      <c r="L98" s="18" t="s">
        <v>21</v>
      </c>
      <c r="M98" s="19">
        <v>2024.3697478991598</v>
      </c>
      <c r="N98" s="19">
        <f t="shared" si="9"/>
        <v>384.63025210084038</v>
      </c>
      <c r="O98" s="19">
        <f t="shared" si="7"/>
        <v>240900000</v>
      </c>
      <c r="P98" s="17" t="s">
        <v>82</v>
      </c>
      <c r="R98" s="31"/>
    </row>
    <row r="99" spans="1:18" x14ac:dyDescent="0.3">
      <c r="A99" s="9" t="s">
        <v>196</v>
      </c>
      <c r="B99" s="10" t="s">
        <v>2007</v>
      </c>
      <c r="C99" s="11" t="s">
        <v>1773</v>
      </c>
      <c r="D99" s="12">
        <v>44167</v>
      </c>
      <c r="E99" s="12">
        <v>44167</v>
      </c>
      <c r="F99" s="13">
        <v>374860000</v>
      </c>
      <c r="G99" s="14">
        <v>0</v>
      </c>
      <c r="H99" s="9" t="s">
        <v>277</v>
      </c>
      <c r="I99" s="15">
        <v>805023817</v>
      </c>
      <c r="J99" s="16" t="s">
        <v>278</v>
      </c>
      <c r="K99" s="17">
        <f>100000/2</f>
        <v>50000</v>
      </c>
      <c r="L99" s="18" t="s">
        <v>36</v>
      </c>
      <c r="M99" s="19">
        <f>3660*2</f>
        <v>7320</v>
      </c>
      <c r="N99" s="19">
        <v>0</v>
      </c>
      <c r="O99" s="19">
        <f t="shared" si="7"/>
        <v>366000000</v>
      </c>
      <c r="P99" s="17" t="s">
        <v>37</v>
      </c>
      <c r="R99" s="31"/>
    </row>
    <row r="100" spans="1:18" x14ac:dyDescent="0.3">
      <c r="A100" s="9" t="s">
        <v>196</v>
      </c>
      <c r="B100" s="10" t="s">
        <v>2008</v>
      </c>
      <c r="C100" s="11" t="s">
        <v>1774</v>
      </c>
      <c r="D100" s="12">
        <v>44169</v>
      </c>
      <c r="E100" s="12">
        <v>44169</v>
      </c>
      <c r="F100" s="13">
        <v>414215200</v>
      </c>
      <c r="G100" s="14">
        <v>0</v>
      </c>
      <c r="H100" s="9" t="s">
        <v>279</v>
      </c>
      <c r="I100" s="15">
        <v>830105984</v>
      </c>
      <c r="J100" s="16" t="s">
        <v>1856</v>
      </c>
      <c r="K100" s="17">
        <v>1000</v>
      </c>
      <c r="L100" s="18" t="s">
        <v>21</v>
      </c>
      <c r="M100" s="19">
        <v>348080</v>
      </c>
      <c r="N100" s="19">
        <f>M100*0.19</f>
        <v>66135.199999999997</v>
      </c>
      <c r="O100" s="19">
        <f t="shared" si="7"/>
        <v>414215200</v>
      </c>
      <c r="P100" s="16" t="s">
        <v>119</v>
      </c>
      <c r="R100" s="31"/>
    </row>
    <row r="101" spans="1:18" x14ac:dyDescent="0.3">
      <c r="A101" s="9" t="s">
        <v>196</v>
      </c>
      <c r="B101" s="10" t="s">
        <v>2009</v>
      </c>
      <c r="C101" s="11" t="s">
        <v>1775</v>
      </c>
      <c r="D101" s="12">
        <v>44172</v>
      </c>
      <c r="E101" s="12">
        <v>44172</v>
      </c>
      <c r="F101" s="13">
        <v>2025000</v>
      </c>
      <c r="G101" s="14">
        <v>0</v>
      </c>
      <c r="H101" s="9" t="s">
        <v>280</v>
      </c>
      <c r="I101" s="15">
        <v>900505419</v>
      </c>
      <c r="J101" s="16" t="s">
        <v>1857</v>
      </c>
      <c r="K101" s="17">
        <v>45</v>
      </c>
      <c r="L101" s="18" t="s">
        <v>261</v>
      </c>
      <c r="M101" s="19">
        <v>45000</v>
      </c>
      <c r="N101" s="19">
        <v>0</v>
      </c>
      <c r="O101" s="19">
        <f t="shared" si="7"/>
        <v>2025000</v>
      </c>
      <c r="P101" s="17" t="s">
        <v>185</v>
      </c>
      <c r="R101" s="31"/>
    </row>
    <row r="102" spans="1:18" x14ac:dyDescent="0.3">
      <c r="A102" s="9" t="s">
        <v>196</v>
      </c>
      <c r="B102" s="10" t="s">
        <v>2010</v>
      </c>
      <c r="C102" s="11" t="s">
        <v>1776</v>
      </c>
      <c r="D102" s="12">
        <v>44186</v>
      </c>
      <c r="E102" s="12">
        <v>44186</v>
      </c>
      <c r="F102" s="13">
        <v>591954000</v>
      </c>
      <c r="G102" s="14">
        <v>0</v>
      </c>
      <c r="H102" s="9" t="s">
        <v>281</v>
      </c>
      <c r="I102" s="15">
        <v>900053297</v>
      </c>
      <c r="J102" s="16" t="s">
        <v>49</v>
      </c>
      <c r="K102" s="17">
        <v>82000</v>
      </c>
      <c r="L102" s="18" t="s">
        <v>21</v>
      </c>
      <c r="M102" s="19">
        <v>7218.9512195121952</v>
      </c>
      <c r="N102" s="19">
        <v>0</v>
      </c>
      <c r="O102" s="19">
        <f t="shared" si="7"/>
        <v>591954000</v>
      </c>
      <c r="P102" s="17" t="s">
        <v>31</v>
      </c>
      <c r="R102" s="31"/>
    </row>
    <row r="103" spans="1:18" x14ac:dyDescent="0.3">
      <c r="A103" s="9" t="s">
        <v>196</v>
      </c>
      <c r="B103" s="10" t="s">
        <v>2011</v>
      </c>
      <c r="C103" s="11" t="s">
        <v>1777</v>
      </c>
      <c r="D103" s="12">
        <v>44186</v>
      </c>
      <c r="E103" s="12">
        <v>44186</v>
      </c>
      <c r="F103" s="13">
        <v>3170000</v>
      </c>
      <c r="G103" s="14">
        <v>0</v>
      </c>
      <c r="H103" s="9" t="s">
        <v>60</v>
      </c>
      <c r="I103" s="15">
        <v>830001338</v>
      </c>
      <c r="J103" s="16" t="s">
        <v>69</v>
      </c>
      <c r="K103" s="17">
        <v>50</v>
      </c>
      <c r="L103" s="18" t="s">
        <v>70</v>
      </c>
      <c r="M103" s="19">
        <v>63400</v>
      </c>
      <c r="N103" s="19">
        <v>0</v>
      </c>
      <c r="O103" s="19">
        <f t="shared" si="7"/>
        <v>3170000</v>
      </c>
      <c r="P103" s="17" t="s">
        <v>69</v>
      </c>
      <c r="R103" s="31"/>
    </row>
    <row r="104" spans="1:18" x14ac:dyDescent="0.3">
      <c r="A104" s="9" t="s">
        <v>196</v>
      </c>
      <c r="B104" s="10" t="s">
        <v>2012</v>
      </c>
      <c r="C104" s="11" t="s">
        <v>1777</v>
      </c>
      <c r="D104" s="12">
        <v>44186</v>
      </c>
      <c r="E104" s="12">
        <v>44186</v>
      </c>
      <c r="F104" s="13">
        <v>597200000</v>
      </c>
      <c r="G104" s="14">
        <v>0</v>
      </c>
      <c r="H104" s="9" t="s">
        <v>282</v>
      </c>
      <c r="I104" s="15">
        <v>94409574</v>
      </c>
      <c r="J104" s="16" t="s">
        <v>69</v>
      </c>
      <c r="K104" s="17">
        <v>9300</v>
      </c>
      <c r="L104" s="18" t="s">
        <v>70</v>
      </c>
      <c r="M104" s="19">
        <v>64215.053763440861</v>
      </c>
      <c r="N104" s="19">
        <v>0</v>
      </c>
      <c r="O104" s="19">
        <f t="shared" si="7"/>
        <v>597200000</v>
      </c>
      <c r="P104" s="17" t="s">
        <v>69</v>
      </c>
      <c r="R104" s="31"/>
    </row>
    <row r="105" spans="1:18" x14ac:dyDescent="0.3">
      <c r="A105" s="9" t="s">
        <v>196</v>
      </c>
      <c r="B105" s="10" t="s">
        <v>2013</v>
      </c>
      <c r="C105" s="11" t="s">
        <v>1777</v>
      </c>
      <c r="D105" s="12">
        <v>44186</v>
      </c>
      <c r="E105" s="12">
        <v>44186</v>
      </c>
      <c r="F105" s="13">
        <v>17250000</v>
      </c>
      <c r="G105" s="14">
        <v>0</v>
      </c>
      <c r="H105" s="9" t="s">
        <v>273</v>
      </c>
      <c r="I105" s="15">
        <v>901211678</v>
      </c>
      <c r="J105" s="16" t="s">
        <v>69</v>
      </c>
      <c r="K105" s="17">
        <v>300</v>
      </c>
      <c r="L105" s="18" t="s">
        <v>70</v>
      </c>
      <c r="M105" s="19">
        <v>57500</v>
      </c>
      <c r="N105" s="19">
        <v>0</v>
      </c>
      <c r="O105" s="19">
        <f t="shared" si="7"/>
        <v>17250000</v>
      </c>
      <c r="P105" s="17" t="s">
        <v>69</v>
      </c>
      <c r="R105" s="31"/>
    </row>
    <row r="106" spans="1:18" x14ac:dyDescent="0.3">
      <c r="A106" s="9" t="s">
        <v>196</v>
      </c>
      <c r="B106" s="10" t="s">
        <v>2014</v>
      </c>
      <c r="C106" s="11" t="s">
        <v>1778</v>
      </c>
      <c r="D106" s="12">
        <v>44189</v>
      </c>
      <c r="E106" s="12">
        <v>44189</v>
      </c>
      <c r="F106" s="13">
        <v>31430750</v>
      </c>
      <c r="G106" s="14">
        <v>0</v>
      </c>
      <c r="H106" s="9" t="s">
        <v>123</v>
      </c>
      <c r="I106" s="15">
        <v>900791672</v>
      </c>
      <c r="J106" s="16" t="s">
        <v>58</v>
      </c>
      <c r="K106" s="17">
        <v>8500</v>
      </c>
      <c r="L106" s="29" t="s">
        <v>2135</v>
      </c>
      <c r="M106" s="19">
        <v>3107.3405832921403</v>
      </c>
      <c r="N106" s="19">
        <f t="shared" ref="N106:N112" si="10">M106*0.19</f>
        <v>590.39471082550665</v>
      </c>
      <c r="O106" s="19">
        <f t="shared" si="7"/>
        <v>31430750</v>
      </c>
      <c r="P106" s="21" t="s">
        <v>656</v>
      </c>
      <c r="R106" s="31"/>
    </row>
    <row r="107" spans="1:18" x14ac:dyDescent="0.3">
      <c r="A107" s="9" t="s">
        <v>196</v>
      </c>
      <c r="B107" s="10" t="s">
        <v>2015</v>
      </c>
      <c r="C107" s="11" t="s">
        <v>1778</v>
      </c>
      <c r="D107" s="12">
        <v>44189</v>
      </c>
      <c r="E107" s="12">
        <v>44189</v>
      </c>
      <c r="F107" s="13">
        <v>3889300</v>
      </c>
      <c r="G107" s="14">
        <v>0</v>
      </c>
      <c r="H107" s="9" t="s">
        <v>60</v>
      </c>
      <c r="I107" s="15">
        <v>830001338</v>
      </c>
      <c r="J107" s="16" t="s">
        <v>58</v>
      </c>
      <c r="K107" s="17">
        <v>1000</v>
      </c>
      <c r="L107" s="29" t="s">
        <v>2135</v>
      </c>
      <c r="M107" s="19">
        <v>3268.3193277310929</v>
      </c>
      <c r="N107" s="19">
        <f t="shared" si="10"/>
        <v>620.98067226890771</v>
      </c>
      <c r="O107" s="19">
        <f t="shared" si="7"/>
        <v>3889300.0000000005</v>
      </c>
      <c r="P107" s="21" t="s">
        <v>656</v>
      </c>
      <c r="R107" s="31"/>
    </row>
    <row r="108" spans="1:18" x14ac:dyDescent="0.3">
      <c r="A108" s="9" t="s">
        <v>196</v>
      </c>
      <c r="B108" s="10" t="s">
        <v>2016</v>
      </c>
      <c r="C108" s="11" t="s">
        <v>1778</v>
      </c>
      <c r="D108" s="12">
        <v>44189</v>
      </c>
      <c r="E108" s="12">
        <v>44189</v>
      </c>
      <c r="F108" s="13">
        <v>7079650</v>
      </c>
      <c r="G108" s="14">
        <v>0</v>
      </c>
      <c r="H108" s="9" t="s">
        <v>283</v>
      </c>
      <c r="I108" s="15">
        <v>901104771</v>
      </c>
      <c r="J108" s="16" t="s">
        <v>58</v>
      </c>
      <c r="K108" s="17">
        <v>1500</v>
      </c>
      <c r="L108" s="29" t="s">
        <v>2135</v>
      </c>
      <c r="M108" s="19">
        <v>3966.1904761904761</v>
      </c>
      <c r="N108" s="19">
        <f t="shared" si="10"/>
        <v>753.5761904761905</v>
      </c>
      <c r="O108" s="19">
        <f t="shared" si="7"/>
        <v>7079650</v>
      </c>
      <c r="P108" s="21" t="s">
        <v>656</v>
      </c>
      <c r="R108" s="31"/>
    </row>
    <row r="109" spans="1:18" x14ac:dyDescent="0.3">
      <c r="A109" s="9" t="s">
        <v>284</v>
      </c>
      <c r="B109" s="10" t="s">
        <v>285</v>
      </c>
      <c r="C109" s="11" t="s">
        <v>286</v>
      </c>
      <c r="D109" s="12">
        <v>43907</v>
      </c>
      <c r="E109" s="12">
        <v>43908</v>
      </c>
      <c r="F109" s="13">
        <v>25281431</v>
      </c>
      <c r="G109" s="14">
        <v>0</v>
      </c>
      <c r="H109" s="9" t="s">
        <v>19</v>
      </c>
      <c r="I109" s="15">
        <v>901095058</v>
      </c>
      <c r="J109" s="16" t="s">
        <v>287</v>
      </c>
      <c r="K109" s="17">
        <v>1350</v>
      </c>
      <c r="L109" s="18" t="s">
        <v>21</v>
      </c>
      <c r="M109" s="19">
        <v>15374</v>
      </c>
      <c r="N109" s="19">
        <f t="shared" si="10"/>
        <v>2921.06</v>
      </c>
      <c r="O109" s="19">
        <f t="shared" si="7"/>
        <v>24698331</v>
      </c>
      <c r="P109" s="17" t="s">
        <v>22</v>
      </c>
      <c r="R109" s="31"/>
    </row>
    <row r="110" spans="1:18" x14ac:dyDescent="0.3">
      <c r="A110" s="9" t="s">
        <v>284</v>
      </c>
      <c r="B110" s="10" t="s">
        <v>285</v>
      </c>
      <c r="C110" s="11" t="s">
        <v>286</v>
      </c>
      <c r="D110" s="12">
        <v>43907</v>
      </c>
      <c r="E110" s="12">
        <v>43908</v>
      </c>
      <c r="F110" s="13">
        <v>25281431</v>
      </c>
      <c r="G110" s="14">
        <v>0</v>
      </c>
      <c r="H110" s="9" t="s">
        <v>19</v>
      </c>
      <c r="I110" s="15">
        <v>901095058</v>
      </c>
      <c r="J110" s="16" t="s">
        <v>288</v>
      </c>
      <c r="K110" s="17">
        <v>70</v>
      </c>
      <c r="L110" s="18" t="s">
        <v>21</v>
      </c>
      <c r="M110" s="19">
        <v>7000</v>
      </c>
      <c r="N110" s="19">
        <f t="shared" si="10"/>
        <v>1330</v>
      </c>
      <c r="O110" s="19">
        <f t="shared" si="7"/>
        <v>583100</v>
      </c>
      <c r="P110" s="17" t="s">
        <v>412</v>
      </c>
      <c r="R110" s="31"/>
    </row>
    <row r="111" spans="1:18" x14ac:dyDescent="0.3">
      <c r="A111" s="9" t="s">
        <v>284</v>
      </c>
      <c r="B111" s="10" t="s">
        <v>289</v>
      </c>
      <c r="C111" s="11" t="s">
        <v>290</v>
      </c>
      <c r="D111" s="12">
        <v>43917</v>
      </c>
      <c r="E111" s="12">
        <v>43917</v>
      </c>
      <c r="F111" s="13">
        <v>11284977</v>
      </c>
      <c r="G111" s="14">
        <v>0</v>
      </c>
      <c r="H111" s="9" t="s">
        <v>291</v>
      </c>
      <c r="I111" s="15">
        <v>1095815252</v>
      </c>
      <c r="J111" s="16" t="s">
        <v>292</v>
      </c>
      <c r="K111" s="17">
        <v>37</v>
      </c>
      <c r="L111" s="18" t="s">
        <v>21</v>
      </c>
      <c r="M111" s="19">
        <v>138655</v>
      </c>
      <c r="N111" s="19">
        <f t="shared" si="10"/>
        <v>26344.45</v>
      </c>
      <c r="O111" s="19">
        <f t="shared" si="7"/>
        <v>6104979.6500000004</v>
      </c>
      <c r="P111" s="16" t="s">
        <v>119</v>
      </c>
      <c r="R111" s="31"/>
    </row>
    <row r="112" spans="1:18" x14ac:dyDescent="0.3">
      <c r="A112" s="9" t="s">
        <v>284</v>
      </c>
      <c r="B112" s="10" t="s">
        <v>289</v>
      </c>
      <c r="C112" s="11" t="s">
        <v>290</v>
      </c>
      <c r="D112" s="12">
        <v>43917</v>
      </c>
      <c r="E112" s="12">
        <v>43917</v>
      </c>
      <c r="F112" s="13">
        <v>11284977</v>
      </c>
      <c r="G112" s="14">
        <v>0</v>
      </c>
      <c r="H112" s="9" t="s">
        <v>291</v>
      </c>
      <c r="I112" s="15">
        <v>1095815252</v>
      </c>
      <c r="J112" s="16" t="s">
        <v>293</v>
      </c>
      <c r="K112" s="17">
        <v>37</v>
      </c>
      <c r="L112" s="18" t="s">
        <v>21</v>
      </c>
      <c r="M112" s="19">
        <v>117647</v>
      </c>
      <c r="N112" s="19">
        <f t="shared" si="10"/>
        <v>22352.93</v>
      </c>
      <c r="O112" s="19">
        <f t="shared" si="7"/>
        <v>5179997.41</v>
      </c>
      <c r="P112" s="17" t="s">
        <v>120</v>
      </c>
      <c r="R112" s="31"/>
    </row>
    <row r="113" spans="1:18" x14ac:dyDescent="0.3">
      <c r="A113" s="9" t="s">
        <v>284</v>
      </c>
      <c r="B113" s="10" t="s">
        <v>294</v>
      </c>
      <c r="C113" s="11" t="s">
        <v>295</v>
      </c>
      <c r="D113" s="12">
        <v>43938</v>
      </c>
      <c r="E113" s="12">
        <v>43938</v>
      </c>
      <c r="F113" s="13">
        <v>27000000</v>
      </c>
      <c r="G113" s="14">
        <v>0</v>
      </c>
      <c r="H113" s="9" t="s">
        <v>296</v>
      </c>
      <c r="I113" s="15">
        <v>900481697</v>
      </c>
      <c r="J113" s="16" t="s">
        <v>297</v>
      </c>
      <c r="K113" s="17">
        <v>18000</v>
      </c>
      <c r="L113" s="18" t="s">
        <v>21</v>
      </c>
      <c r="M113" s="19">
        <v>1500</v>
      </c>
      <c r="N113" s="19">
        <v>0</v>
      </c>
      <c r="O113" s="19">
        <f t="shared" si="7"/>
        <v>27000000</v>
      </c>
      <c r="P113" s="17" t="s">
        <v>31</v>
      </c>
      <c r="R113" s="31"/>
    </row>
    <row r="114" spans="1:18" x14ac:dyDescent="0.3">
      <c r="A114" s="9" t="s">
        <v>284</v>
      </c>
      <c r="B114" s="10" t="s">
        <v>298</v>
      </c>
      <c r="C114" s="11" t="s">
        <v>299</v>
      </c>
      <c r="D114" s="12">
        <v>43910</v>
      </c>
      <c r="E114" s="12">
        <v>43910</v>
      </c>
      <c r="F114" s="13">
        <v>33831700</v>
      </c>
      <c r="G114" s="14">
        <v>0</v>
      </c>
      <c r="H114" s="9" t="s">
        <v>300</v>
      </c>
      <c r="I114" s="15">
        <v>830037946</v>
      </c>
      <c r="J114" s="16" t="s">
        <v>301</v>
      </c>
      <c r="K114" s="46">
        <v>5700</v>
      </c>
      <c r="L114" s="18" t="s">
        <v>36</v>
      </c>
      <c r="M114" s="19">
        <v>5261.0526315789475</v>
      </c>
      <c r="N114" s="19">
        <v>0</v>
      </c>
      <c r="O114" s="19">
        <f t="shared" si="7"/>
        <v>29988000</v>
      </c>
      <c r="P114" s="17" t="s">
        <v>39</v>
      </c>
      <c r="R114" s="31"/>
    </row>
    <row r="115" spans="1:18" x14ac:dyDescent="0.3">
      <c r="A115" s="9" t="s">
        <v>284</v>
      </c>
      <c r="B115" s="10" t="s">
        <v>298</v>
      </c>
      <c r="C115" s="11" t="s">
        <v>299</v>
      </c>
      <c r="D115" s="12">
        <v>43910</v>
      </c>
      <c r="E115" s="12">
        <v>43910</v>
      </c>
      <c r="F115" s="13">
        <v>33831700</v>
      </c>
      <c r="G115" s="14">
        <v>0</v>
      </c>
      <c r="H115" s="9" t="s">
        <v>300</v>
      </c>
      <c r="I115" s="15">
        <v>830037946</v>
      </c>
      <c r="J115" s="16" t="s">
        <v>302</v>
      </c>
      <c r="K115" s="17">
        <v>500</v>
      </c>
      <c r="L115" s="29" t="s">
        <v>2135</v>
      </c>
      <c r="M115" s="19">
        <v>6664</v>
      </c>
      <c r="N115" s="19">
        <v>0</v>
      </c>
      <c r="O115" s="19">
        <f t="shared" si="7"/>
        <v>3332000</v>
      </c>
      <c r="P115" s="21" t="s">
        <v>656</v>
      </c>
      <c r="R115" s="31"/>
    </row>
    <row r="116" spans="1:18" x14ac:dyDescent="0.3">
      <c r="A116" s="9" t="s">
        <v>284</v>
      </c>
      <c r="B116" s="10" t="s">
        <v>298</v>
      </c>
      <c r="C116" s="11" t="s">
        <v>299</v>
      </c>
      <c r="D116" s="12">
        <v>43910</v>
      </c>
      <c r="E116" s="12">
        <v>43910</v>
      </c>
      <c r="F116" s="13">
        <v>33831700</v>
      </c>
      <c r="G116" s="14">
        <v>0</v>
      </c>
      <c r="H116" s="9" t="s">
        <v>300</v>
      </c>
      <c r="I116" s="15">
        <v>830037946</v>
      </c>
      <c r="J116" s="16" t="s">
        <v>303</v>
      </c>
      <c r="K116" s="46">
        <v>50</v>
      </c>
      <c r="L116" s="18" t="s">
        <v>36</v>
      </c>
      <c r="M116" s="19">
        <v>10234</v>
      </c>
      <c r="N116" s="19">
        <v>0</v>
      </c>
      <c r="O116" s="19">
        <f t="shared" si="7"/>
        <v>511700</v>
      </c>
      <c r="P116" s="17" t="s">
        <v>39</v>
      </c>
      <c r="R116" s="31"/>
    </row>
    <row r="117" spans="1:18" x14ac:dyDescent="0.3">
      <c r="A117" s="9" t="s">
        <v>284</v>
      </c>
      <c r="B117" s="10" t="s">
        <v>304</v>
      </c>
      <c r="C117" s="11" t="s">
        <v>305</v>
      </c>
      <c r="D117" s="12">
        <v>43958</v>
      </c>
      <c r="E117" s="12">
        <v>43958</v>
      </c>
      <c r="F117" s="13">
        <v>17825000</v>
      </c>
      <c r="G117" s="14">
        <v>0</v>
      </c>
      <c r="H117" s="9" t="s">
        <v>306</v>
      </c>
      <c r="I117" s="15">
        <v>900017447</v>
      </c>
      <c r="J117" s="16" t="s">
        <v>307</v>
      </c>
      <c r="K117" s="17">
        <v>31</v>
      </c>
      <c r="L117" s="18" t="s">
        <v>21</v>
      </c>
      <c r="M117" s="19">
        <v>575000</v>
      </c>
      <c r="N117" s="19">
        <v>0</v>
      </c>
      <c r="O117" s="19">
        <f t="shared" si="7"/>
        <v>17825000</v>
      </c>
      <c r="P117" s="17" t="s">
        <v>185</v>
      </c>
      <c r="R117" s="31"/>
    </row>
    <row r="118" spans="1:18" x14ac:dyDescent="0.3">
      <c r="A118" s="9" t="s">
        <v>284</v>
      </c>
      <c r="B118" s="10" t="s">
        <v>308</v>
      </c>
      <c r="C118" s="11" t="s">
        <v>309</v>
      </c>
      <c r="D118" s="12">
        <v>43958</v>
      </c>
      <c r="E118" s="12">
        <v>43958</v>
      </c>
      <c r="F118" s="13">
        <v>3284400</v>
      </c>
      <c r="G118" s="14">
        <v>0</v>
      </c>
      <c r="H118" s="9" t="s">
        <v>310</v>
      </c>
      <c r="I118" s="15">
        <v>830037946</v>
      </c>
      <c r="J118" s="16" t="s">
        <v>311</v>
      </c>
      <c r="K118" s="17">
        <v>1840</v>
      </c>
      <c r="L118" s="18" t="s">
        <v>21</v>
      </c>
      <c r="M118" s="19">
        <v>1785</v>
      </c>
      <c r="N118" s="19">
        <v>0</v>
      </c>
      <c r="O118" s="19">
        <f t="shared" si="7"/>
        <v>3284400</v>
      </c>
      <c r="P118" s="17" t="s">
        <v>187</v>
      </c>
      <c r="R118" s="31"/>
    </row>
    <row r="119" spans="1:18" x14ac:dyDescent="0.3">
      <c r="A119" s="9" t="s">
        <v>284</v>
      </c>
      <c r="B119" s="10" t="s">
        <v>312</v>
      </c>
      <c r="C119" s="11" t="s">
        <v>313</v>
      </c>
      <c r="D119" s="12">
        <v>43959</v>
      </c>
      <c r="E119" s="12">
        <v>43959</v>
      </c>
      <c r="F119" s="13">
        <v>2416900</v>
      </c>
      <c r="G119" s="14">
        <v>0</v>
      </c>
      <c r="H119" s="9" t="s">
        <v>314</v>
      </c>
      <c r="I119" s="15">
        <v>10125834</v>
      </c>
      <c r="J119" s="16" t="s">
        <v>315</v>
      </c>
      <c r="K119" s="17">
        <v>193.05591000000001</v>
      </c>
      <c r="L119" s="18" t="s">
        <v>36</v>
      </c>
      <c r="M119" s="19">
        <v>11068.814210349738</v>
      </c>
      <c r="N119" s="19">
        <v>0</v>
      </c>
      <c r="O119" s="19">
        <f t="shared" si="7"/>
        <v>2136900</v>
      </c>
      <c r="P119" s="17" t="s">
        <v>37</v>
      </c>
      <c r="R119" s="31"/>
    </row>
    <row r="120" spans="1:18" x14ac:dyDescent="0.3">
      <c r="A120" s="9" t="s">
        <v>284</v>
      </c>
      <c r="B120" s="10" t="s">
        <v>316</v>
      </c>
      <c r="C120" s="11" t="s">
        <v>317</v>
      </c>
      <c r="D120" s="12">
        <v>43959</v>
      </c>
      <c r="E120" s="12">
        <v>43959</v>
      </c>
      <c r="F120" s="13">
        <v>30000000</v>
      </c>
      <c r="G120" s="14">
        <v>0</v>
      </c>
      <c r="H120" s="9" t="s">
        <v>318</v>
      </c>
      <c r="I120" s="15">
        <v>900353659</v>
      </c>
      <c r="J120" s="16" t="s">
        <v>319</v>
      </c>
      <c r="K120" s="17">
        <v>2000</v>
      </c>
      <c r="L120" s="18" t="s">
        <v>36</v>
      </c>
      <c r="M120" s="19">
        <v>15000</v>
      </c>
      <c r="N120" s="19">
        <v>0</v>
      </c>
      <c r="O120" s="19">
        <f t="shared" si="7"/>
        <v>30000000</v>
      </c>
      <c r="P120" s="17" t="s">
        <v>37</v>
      </c>
      <c r="R120" s="31"/>
    </row>
    <row r="121" spans="1:18" x14ac:dyDescent="0.3">
      <c r="A121" s="9" t="s">
        <v>284</v>
      </c>
      <c r="B121" s="10" t="s">
        <v>320</v>
      </c>
      <c r="C121" s="11" t="s">
        <v>321</v>
      </c>
      <c r="D121" s="12">
        <v>43959</v>
      </c>
      <c r="E121" s="12">
        <v>43959</v>
      </c>
      <c r="F121" s="13">
        <v>7907306</v>
      </c>
      <c r="G121" s="14">
        <v>0</v>
      </c>
      <c r="H121" s="9" t="s">
        <v>60</v>
      </c>
      <c r="I121" s="15">
        <v>830001338</v>
      </c>
      <c r="J121" s="16" t="s">
        <v>322</v>
      </c>
      <c r="K121" s="17">
        <v>824.25</v>
      </c>
      <c r="L121" s="18" t="s">
        <v>36</v>
      </c>
      <c r="M121" s="19">
        <v>9593.3333333333339</v>
      </c>
      <c r="N121" s="19">
        <v>0</v>
      </c>
      <c r="O121" s="19">
        <f t="shared" si="7"/>
        <v>7907305.0000000009</v>
      </c>
      <c r="P121" s="17" t="s">
        <v>161</v>
      </c>
      <c r="R121" s="31"/>
    </row>
    <row r="122" spans="1:18" x14ac:dyDescent="0.3">
      <c r="A122" s="9" t="s">
        <v>284</v>
      </c>
      <c r="B122" s="10" t="s">
        <v>323</v>
      </c>
      <c r="C122" s="11" t="s">
        <v>324</v>
      </c>
      <c r="D122" s="12">
        <v>43963</v>
      </c>
      <c r="E122" s="12">
        <v>43964</v>
      </c>
      <c r="F122" s="13">
        <v>10399998</v>
      </c>
      <c r="G122" s="14">
        <v>0</v>
      </c>
      <c r="H122" s="9" t="s">
        <v>325</v>
      </c>
      <c r="I122" s="15">
        <v>900151140</v>
      </c>
      <c r="J122" s="16" t="s">
        <v>326</v>
      </c>
      <c r="K122" s="17">
        <v>32</v>
      </c>
      <c r="L122" s="18" t="s">
        <v>327</v>
      </c>
      <c r="M122" s="19">
        <v>210083.99</v>
      </c>
      <c r="N122" s="19">
        <f>M122*0.19</f>
        <v>39915.958099999996</v>
      </c>
      <c r="O122" s="19">
        <f t="shared" si="7"/>
        <v>7999998.3391999993</v>
      </c>
      <c r="P122" s="17" t="s">
        <v>328</v>
      </c>
      <c r="R122" s="31"/>
    </row>
    <row r="123" spans="1:18" x14ac:dyDescent="0.3">
      <c r="A123" s="9" t="s">
        <v>284</v>
      </c>
      <c r="B123" s="10" t="s">
        <v>323</v>
      </c>
      <c r="C123" s="11" t="s">
        <v>324</v>
      </c>
      <c r="D123" s="12">
        <v>43963</v>
      </c>
      <c r="E123" s="12">
        <v>43964</v>
      </c>
      <c r="F123" s="13">
        <v>10399998</v>
      </c>
      <c r="G123" s="14">
        <v>0</v>
      </c>
      <c r="H123" s="9" t="s">
        <v>325</v>
      </c>
      <c r="I123" s="15">
        <v>900151140</v>
      </c>
      <c r="J123" s="16" t="s">
        <v>329</v>
      </c>
      <c r="K123" s="17">
        <v>144</v>
      </c>
      <c r="L123" s="18" t="s">
        <v>36</v>
      </c>
      <c r="M123" s="19">
        <v>16666.666666666668</v>
      </c>
      <c r="N123" s="19">
        <v>0</v>
      </c>
      <c r="O123" s="19">
        <f t="shared" si="7"/>
        <v>2400000</v>
      </c>
      <c r="P123" s="17" t="s">
        <v>37</v>
      </c>
      <c r="R123" s="31"/>
    </row>
    <row r="124" spans="1:18" x14ac:dyDescent="0.3">
      <c r="A124" s="9" t="s">
        <v>284</v>
      </c>
      <c r="B124" s="10" t="s">
        <v>330</v>
      </c>
      <c r="C124" s="11" t="s">
        <v>331</v>
      </c>
      <c r="D124" s="12">
        <v>43963</v>
      </c>
      <c r="E124" s="12">
        <v>43963</v>
      </c>
      <c r="F124" s="13">
        <v>1142400</v>
      </c>
      <c r="G124" s="14">
        <v>0</v>
      </c>
      <c r="H124" s="9" t="s">
        <v>332</v>
      </c>
      <c r="I124" s="15">
        <v>830037946</v>
      </c>
      <c r="J124" s="16" t="s">
        <v>333</v>
      </c>
      <c r="K124" s="17">
        <v>100</v>
      </c>
      <c r="L124" s="18" t="s">
        <v>21</v>
      </c>
      <c r="M124" s="19">
        <v>9600</v>
      </c>
      <c r="N124" s="19">
        <f t="shared" ref="N124:N127" si="11">M124*0.19</f>
        <v>1824</v>
      </c>
      <c r="O124" s="19">
        <f t="shared" si="7"/>
        <v>1142400</v>
      </c>
      <c r="P124" s="17" t="s">
        <v>334</v>
      </c>
      <c r="R124" s="31"/>
    </row>
    <row r="125" spans="1:18" x14ac:dyDescent="0.3">
      <c r="A125" s="9" t="s">
        <v>284</v>
      </c>
      <c r="B125" s="10" t="s">
        <v>335</v>
      </c>
      <c r="C125" s="11" t="s">
        <v>336</v>
      </c>
      <c r="D125" s="12">
        <v>43969</v>
      </c>
      <c r="E125" s="12">
        <v>43969</v>
      </c>
      <c r="F125" s="13">
        <v>34947325</v>
      </c>
      <c r="G125" s="14">
        <v>0</v>
      </c>
      <c r="H125" s="9" t="s">
        <v>337</v>
      </c>
      <c r="I125" s="15">
        <v>830044858</v>
      </c>
      <c r="J125" s="16" t="s">
        <v>338</v>
      </c>
      <c r="K125" s="17">
        <v>7</v>
      </c>
      <c r="L125" s="18" t="s">
        <v>92</v>
      </c>
      <c r="M125" s="19">
        <v>269000</v>
      </c>
      <c r="N125" s="19">
        <f t="shared" si="11"/>
        <v>51110</v>
      </c>
      <c r="O125" s="19">
        <f t="shared" si="7"/>
        <v>2240770</v>
      </c>
      <c r="P125" s="17" t="s">
        <v>93</v>
      </c>
      <c r="R125" s="31"/>
    </row>
    <row r="126" spans="1:18" x14ac:dyDescent="0.3">
      <c r="A126" s="9" t="s">
        <v>284</v>
      </c>
      <c r="B126" s="10" t="s">
        <v>335</v>
      </c>
      <c r="C126" s="11" t="s">
        <v>336</v>
      </c>
      <c r="D126" s="12">
        <v>43969</v>
      </c>
      <c r="E126" s="12">
        <v>43969</v>
      </c>
      <c r="F126" s="13">
        <v>34947325</v>
      </c>
      <c r="G126" s="14">
        <v>0</v>
      </c>
      <c r="H126" s="9" t="s">
        <v>337</v>
      </c>
      <c r="I126" s="15">
        <v>830044858</v>
      </c>
      <c r="J126" s="16" t="s">
        <v>339</v>
      </c>
      <c r="K126" s="17">
        <v>46</v>
      </c>
      <c r="L126" s="18" t="s">
        <v>92</v>
      </c>
      <c r="M126" s="19">
        <v>219000</v>
      </c>
      <c r="N126" s="19">
        <f t="shared" si="11"/>
        <v>41610</v>
      </c>
      <c r="O126" s="19">
        <f t="shared" si="7"/>
        <v>11988060</v>
      </c>
      <c r="P126" s="17" t="s">
        <v>93</v>
      </c>
      <c r="R126" s="31"/>
    </row>
    <row r="127" spans="1:18" x14ac:dyDescent="0.3">
      <c r="A127" s="9" t="s">
        <v>284</v>
      </c>
      <c r="B127" s="10" t="s">
        <v>335</v>
      </c>
      <c r="C127" s="11" t="s">
        <v>336</v>
      </c>
      <c r="D127" s="12">
        <v>43969</v>
      </c>
      <c r="E127" s="12">
        <v>43969</v>
      </c>
      <c r="F127" s="13">
        <v>34947325</v>
      </c>
      <c r="G127" s="14">
        <v>0</v>
      </c>
      <c r="H127" s="9" t="s">
        <v>337</v>
      </c>
      <c r="I127" s="15">
        <v>830044858</v>
      </c>
      <c r="J127" s="16" t="s">
        <v>340</v>
      </c>
      <c r="K127" s="17">
        <v>53</v>
      </c>
      <c r="L127" s="18" t="s">
        <v>92</v>
      </c>
      <c r="M127" s="19">
        <v>219000</v>
      </c>
      <c r="N127" s="19">
        <f t="shared" si="11"/>
        <v>41610</v>
      </c>
      <c r="O127" s="19">
        <f t="shared" si="7"/>
        <v>13812330</v>
      </c>
      <c r="P127" s="17" t="s">
        <v>93</v>
      </c>
      <c r="R127" s="31"/>
    </row>
    <row r="128" spans="1:18" x14ac:dyDescent="0.3">
      <c r="A128" s="9" t="s">
        <v>284</v>
      </c>
      <c r="B128" s="10" t="s">
        <v>341</v>
      </c>
      <c r="C128" s="11" t="s">
        <v>342</v>
      </c>
      <c r="D128" s="12">
        <v>43970</v>
      </c>
      <c r="E128" s="12">
        <v>43970</v>
      </c>
      <c r="F128" s="13">
        <v>9318300</v>
      </c>
      <c r="G128" s="14">
        <v>0</v>
      </c>
      <c r="H128" s="9" t="s">
        <v>343</v>
      </c>
      <c r="I128" s="15">
        <v>900350133</v>
      </c>
      <c r="J128" s="16" t="s">
        <v>69</v>
      </c>
      <c r="K128" s="17">
        <v>178</v>
      </c>
      <c r="L128" s="18" t="s">
        <v>70</v>
      </c>
      <c r="M128" s="19">
        <v>52350</v>
      </c>
      <c r="N128" s="19">
        <v>0</v>
      </c>
      <c r="O128" s="19">
        <f t="shared" si="7"/>
        <v>9318300</v>
      </c>
      <c r="P128" s="17" t="s">
        <v>69</v>
      </c>
      <c r="R128" s="31"/>
    </row>
    <row r="129" spans="1:18" x14ac:dyDescent="0.3">
      <c r="A129" s="9" t="s">
        <v>284</v>
      </c>
      <c r="B129" s="10" t="s">
        <v>344</v>
      </c>
      <c r="C129" s="11" t="s">
        <v>345</v>
      </c>
      <c r="D129" s="12">
        <v>43971</v>
      </c>
      <c r="E129" s="12">
        <v>43971</v>
      </c>
      <c r="F129" s="13">
        <v>7102970</v>
      </c>
      <c r="G129" s="14">
        <v>0</v>
      </c>
      <c r="H129" s="9" t="s">
        <v>346</v>
      </c>
      <c r="I129" s="15">
        <v>890900943</v>
      </c>
      <c r="J129" s="16" t="s">
        <v>347</v>
      </c>
      <c r="K129" s="17">
        <v>5</v>
      </c>
      <c r="L129" s="18" t="s">
        <v>21</v>
      </c>
      <c r="M129" s="19">
        <v>1193776.4705882354</v>
      </c>
      <c r="N129" s="19">
        <f t="shared" ref="N129:N130" si="12">M129*0.19</f>
        <v>226817.52941176473</v>
      </c>
      <c r="O129" s="19">
        <f t="shared" si="7"/>
        <v>7102970.0000000009</v>
      </c>
      <c r="P129" s="17" t="s">
        <v>65</v>
      </c>
      <c r="R129" s="31"/>
    </row>
    <row r="130" spans="1:18" x14ac:dyDescent="0.3">
      <c r="A130" s="9" t="s">
        <v>284</v>
      </c>
      <c r="B130" s="10" t="s">
        <v>348</v>
      </c>
      <c r="C130" s="11" t="s">
        <v>349</v>
      </c>
      <c r="D130" s="12">
        <v>43977</v>
      </c>
      <c r="E130" s="12">
        <v>43977</v>
      </c>
      <c r="F130" s="13">
        <v>2990000</v>
      </c>
      <c r="G130" s="14">
        <v>0</v>
      </c>
      <c r="H130" s="9" t="s">
        <v>350</v>
      </c>
      <c r="I130" s="15">
        <v>900155107</v>
      </c>
      <c r="J130" s="16" t="s">
        <v>351</v>
      </c>
      <c r="K130" s="17">
        <v>23</v>
      </c>
      <c r="L130" s="18" t="s">
        <v>21</v>
      </c>
      <c r="M130" s="19">
        <v>109243.6974789916</v>
      </c>
      <c r="N130" s="19">
        <f t="shared" si="12"/>
        <v>20756.302521008405</v>
      </c>
      <c r="O130" s="19">
        <f t="shared" ref="O130:O192" si="13">K130*(M130+N130)</f>
        <v>2990000</v>
      </c>
      <c r="P130" s="17" t="s">
        <v>82</v>
      </c>
      <c r="R130" s="31"/>
    </row>
    <row r="131" spans="1:18" x14ac:dyDescent="0.3">
      <c r="A131" s="9" t="s">
        <v>284</v>
      </c>
      <c r="B131" s="10" t="s">
        <v>352</v>
      </c>
      <c r="C131" s="11" t="s">
        <v>353</v>
      </c>
      <c r="D131" s="12">
        <v>43979</v>
      </c>
      <c r="E131" s="12">
        <v>43979</v>
      </c>
      <c r="F131" s="13">
        <v>41536001</v>
      </c>
      <c r="G131" s="14">
        <v>0</v>
      </c>
      <c r="H131" s="9" t="s">
        <v>60</v>
      </c>
      <c r="I131" s="15">
        <v>830001338</v>
      </c>
      <c r="J131" s="16" t="s">
        <v>49</v>
      </c>
      <c r="K131" s="17">
        <v>32000</v>
      </c>
      <c r="L131" s="18" t="s">
        <v>21</v>
      </c>
      <c r="M131" s="19">
        <v>1298</v>
      </c>
      <c r="N131" s="19">
        <v>0</v>
      </c>
      <c r="O131" s="19">
        <f t="shared" si="13"/>
        <v>41536000</v>
      </c>
      <c r="P131" s="17" t="s">
        <v>31</v>
      </c>
      <c r="R131" s="31"/>
    </row>
    <row r="132" spans="1:18" x14ac:dyDescent="0.3">
      <c r="A132" s="9" t="s">
        <v>284</v>
      </c>
      <c r="B132" s="10" t="s">
        <v>354</v>
      </c>
      <c r="C132" s="11" t="s">
        <v>355</v>
      </c>
      <c r="D132" s="12">
        <v>43984</v>
      </c>
      <c r="E132" s="12">
        <v>43984</v>
      </c>
      <c r="F132" s="13">
        <v>278000</v>
      </c>
      <c r="G132" s="14">
        <v>0</v>
      </c>
      <c r="H132" s="9" t="s">
        <v>356</v>
      </c>
      <c r="I132" s="15">
        <v>900300970</v>
      </c>
      <c r="J132" s="16" t="s">
        <v>49</v>
      </c>
      <c r="K132" s="17">
        <v>200</v>
      </c>
      <c r="L132" s="18" t="s">
        <v>21</v>
      </c>
      <c r="M132" s="19">
        <v>1290</v>
      </c>
      <c r="N132" s="19">
        <v>0</v>
      </c>
      <c r="O132" s="19">
        <f t="shared" si="13"/>
        <v>258000</v>
      </c>
      <c r="P132" s="17" t="s">
        <v>31</v>
      </c>
      <c r="R132" s="31"/>
    </row>
    <row r="133" spans="1:18" x14ac:dyDescent="0.3">
      <c r="A133" s="9" t="s">
        <v>284</v>
      </c>
      <c r="B133" s="10" t="s">
        <v>357</v>
      </c>
      <c r="C133" s="11" t="s">
        <v>358</v>
      </c>
      <c r="D133" s="12">
        <v>43984</v>
      </c>
      <c r="E133" s="12">
        <v>43984</v>
      </c>
      <c r="F133" s="13">
        <v>9984000</v>
      </c>
      <c r="G133" s="14">
        <v>0</v>
      </c>
      <c r="H133" s="9" t="s">
        <v>359</v>
      </c>
      <c r="I133" s="15">
        <v>900704052</v>
      </c>
      <c r="J133" s="16" t="s">
        <v>360</v>
      </c>
      <c r="K133" s="17">
        <v>2000</v>
      </c>
      <c r="L133" s="29" t="s">
        <v>2135</v>
      </c>
      <c r="M133" s="19">
        <v>4742</v>
      </c>
      <c r="N133" s="19">
        <v>0</v>
      </c>
      <c r="O133" s="19">
        <f t="shared" si="13"/>
        <v>9484000</v>
      </c>
      <c r="P133" s="21" t="s">
        <v>656</v>
      </c>
      <c r="R133" s="31"/>
    </row>
    <row r="134" spans="1:18" x14ac:dyDescent="0.3">
      <c r="A134" s="9" t="s">
        <v>284</v>
      </c>
      <c r="B134" s="10" t="s">
        <v>361</v>
      </c>
      <c r="C134" s="11" t="s">
        <v>362</v>
      </c>
      <c r="D134" s="12">
        <v>43986</v>
      </c>
      <c r="E134" s="12">
        <v>43986</v>
      </c>
      <c r="F134" s="13">
        <v>11002000</v>
      </c>
      <c r="G134" s="14">
        <v>0</v>
      </c>
      <c r="H134" s="9" t="s">
        <v>363</v>
      </c>
      <c r="I134" s="15">
        <v>860062147</v>
      </c>
      <c r="J134" s="16" t="s">
        <v>364</v>
      </c>
      <c r="K134" s="17">
        <v>829</v>
      </c>
      <c r="L134" s="18" t="s">
        <v>21</v>
      </c>
      <c r="M134" s="19">
        <v>13000</v>
      </c>
      <c r="N134" s="19">
        <v>0</v>
      </c>
      <c r="O134" s="19">
        <f t="shared" si="13"/>
        <v>10777000</v>
      </c>
      <c r="P134" s="17" t="s">
        <v>75</v>
      </c>
      <c r="R134" s="31"/>
    </row>
    <row r="135" spans="1:18" x14ac:dyDescent="0.3">
      <c r="A135" s="9" t="s">
        <v>284</v>
      </c>
      <c r="B135" s="10" t="s">
        <v>365</v>
      </c>
      <c r="C135" s="11" t="s">
        <v>366</v>
      </c>
      <c r="D135" s="12">
        <v>43994</v>
      </c>
      <c r="E135" s="12">
        <v>44001</v>
      </c>
      <c r="F135" s="13">
        <v>4235200</v>
      </c>
      <c r="G135" s="14">
        <v>0</v>
      </c>
      <c r="H135" s="9" t="s">
        <v>367</v>
      </c>
      <c r="I135" s="15">
        <v>138486039</v>
      </c>
      <c r="J135" s="16" t="s">
        <v>368</v>
      </c>
      <c r="K135" s="17">
        <v>104</v>
      </c>
      <c r="L135" s="18" t="s">
        <v>21</v>
      </c>
      <c r="M135" s="19">
        <v>18487.394957983193</v>
      </c>
      <c r="N135" s="19">
        <f t="shared" ref="N135:N137" si="14">M135*0.19</f>
        <v>3512.6050420168067</v>
      </c>
      <c r="O135" s="19">
        <f t="shared" si="13"/>
        <v>2288000</v>
      </c>
      <c r="P135" s="17" t="s">
        <v>257</v>
      </c>
      <c r="R135" s="31"/>
    </row>
    <row r="136" spans="1:18" x14ac:dyDescent="0.3">
      <c r="A136" s="9" t="s">
        <v>284</v>
      </c>
      <c r="B136" s="10" t="s">
        <v>365</v>
      </c>
      <c r="C136" s="11" t="s">
        <v>366</v>
      </c>
      <c r="D136" s="12">
        <v>43994</v>
      </c>
      <c r="E136" s="12">
        <v>44001</v>
      </c>
      <c r="F136" s="13">
        <v>4235200</v>
      </c>
      <c r="G136" s="14">
        <v>0</v>
      </c>
      <c r="H136" s="9" t="s">
        <v>367</v>
      </c>
      <c r="I136" s="15">
        <v>138486039</v>
      </c>
      <c r="J136" s="16" t="s">
        <v>369</v>
      </c>
      <c r="K136" s="17">
        <v>108</v>
      </c>
      <c r="L136" s="18" t="s">
        <v>21</v>
      </c>
      <c r="M136" s="19">
        <v>2689.0756302521008</v>
      </c>
      <c r="N136" s="19">
        <f t="shared" si="14"/>
        <v>510.92436974789916</v>
      </c>
      <c r="O136" s="19">
        <f t="shared" si="13"/>
        <v>345600</v>
      </c>
      <c r="P136" s="17" t="s">
        <v>257</v>
      </c>
      <c r="R136" s="31"/>
    </row>
    <row r="137" spans="1:18" x14ac:dyDescent="0.3">
      <c r="A137" s="9" t="s">
        <v>284</v>
      </c>
      <c r="B137" s="10" t="s">
        <v>365</v>
      </c>
      <c r="C137" s="11" t="s">
        <v>366</v>
      </c>
      <c r="D137" s="12">
        <v>43994</v>
      </c>
      <c r="E137" s="12">
        <v>44001</v>
      </c>
      <c r="F137" s="13">
        <v>4235200</v>
      </c>
      <c r="G137" s="14">
        <v>0</v>
      </c>
      <c r="H137" s="9" t="s">
        <v>367</v>
      </c>
      <c r="I137" s="15">
        <v>138486039</v>
      </c>
      <c r="J137" s="16" t="s">
        <v>1858</v>
      </c>
      <c r="K137" s="17">
        <v>572</v>
      </c>
      <c r="L137" s="18" t="s">
        <v>21</v>
      </c>
      <c r="M137" s="19">
        <v>2352.9411764705883</v>
      </c>
      <c r="N137" s="19">
        <f t="shared" si="14"/>
        <v>447.05882352941177</v>
      </c>
      <c r="O137" s="19">
        <f t="shared" si="13"/>
        <v>1601600</v>
      </c>
      <c r="P137" s="17" t="s">
        <v>257</v>
      </c>
      <c r="R137" s="31"/>
    </row>
    <row r="138" spans="1:18" x14ac:dyDescent="0.3">
      <c r="A138" s="9" t="s">
        <v>284</v>
      </c>
      <c r="B138" s="10" t="s">
        <v>370</v>
      </c>
      <c r="C138" s="11" t="s">
        <v>371</v>
      </c>
      <c r="D138" s="12">
        <v>43999</v>
      </c>
      <c r="E138" s="12">
        <v>44001</v>
      </c>
      <c r="F138" s="13">
        <v>206400000</v>
      </c>
      <c r="G138" s="14">
        <v>0</v>
      </c>
      <c r="H138" s="9" t="s">
        <v>1943</v>
      </c>
      <c r="I138" s="15">
        <v>890209025</v>
      </c>
      <c r="J138" s="16" t="s">
        <v>372</v>
      </c>
      <c r="K138" s="17">
        <v>12</v>
      </c>
      <c r="L138" s="18" t="s">
        <v>44</v>
      </c>
      <c r="M138" s="19">
        <v>2400000</v>
      </c>
      <c r="N138" s="19">
        <v>0</v>
      </c>
      <c r="O138" s="19">
        <f t="shared" si="13"/>
        <v>28800000</v>
      </c>
      <c r="P138" s="17" t="s">
        <v>45</v>
      </c>
      <c r="R138" s="31"/>
    </row>
    <row r="139" spans="1:18" x14ac:dyDescent="0.3">
      <c r="A139" s="9" t="s">
        <v>284</v>
      </c>
      <c r="B139" s="10" t="s">
        <v>370</v>
      </c>
      <c r="C139" s="11" t="s">
        <v>371</v>
      </c>
      <c r="D139" s="12">
        <v>43999</v>
      </c>
      <c r="E139" s="12">
        <v>44001</v>
      </c>
      <c r="F139" s="13">
        <v>206400000</v>
      </c>
      <c r="G139" s="14">
        <v>0</v>
      </c>
      <c r="H139" s="9" t="s">
        <v>1943</v>
      </c>
      <c r="I139" s="15">
        <v>890209025</v>
      </c>
      <c r="J139" s="16" t="s">
        <v>373</v>
      </c>
      <c r="K139" s="17">
        <v>12</v>
      </c>
      <c r="L139" s="18" t="s">
        <v>44</v>
      </c>
      <c r="M139" s="19">
        <v>1900000</v>
      </c>
      <c r="N139" s="19">
        <v>0</v>
      </c>
      <c r="O139" s="19">
        <f t="shared" si="13"/>
        <v>22800000</v>
      </c>
      <c r="P139" s="17" t="s">
        <v>45</v>
      </c>
      <c r="R139" s="31"/>
    </row>
    <row r="140" spans="1:18" x14ac:dyDescent="0.3">
      <c r="A140" s="9" t="s">
        <v>284</v>
      </c>
      <c r="B140" s="10" t="s">
        <v>374</v>
      </c>
      <c r="C140" s="11" t="s">
        <v>375</v>
      </c>
      <c r="D140" s="12">
        <v>44020</v>
      </c>
      <c r="E140" s="12">
        <v>44020</v>
      </c>
      <c r="F140" s="13">
        <v>51086700</v>
      </c>
      <c r="G140" s="14">
        <v>0</v>
      </c>
      <c r="H140" s="9" t="s">
        <v>376</v>
      </c>
      <c r="I140" s="15">
        <v>900584757</v>
      </c>
      <c r="J140" s="16" t="s">
        <v>377</v>
      </c>
      <c r="K140" s="17">
        <v>135</v>
      </c>
      <c r="L140" s="18" t="s">
        <v>21</v>
      </c>
      <c r="M140" s="19">
        <v>318000</v>
      </c>
      <c r="N140" s="19">
        <f>M140*0.19</f>
        <v>60420</v>
      </c>
      <c r="O140" s="19">
        <f t="shared" si="13"/>
        <v>51086700</v>
      </c>
      <c r="P140" s="16" t="s">
        <v>119</v>
      </c>
      <c r="R140" s="31"/>
    </row>
    <row r="141" spans="1:18" x14ac:dyDescent="0.3">
      <c r="A141" s="9" t="s">
        <v>284</v>
      </c>
      <c r="B141" s="10" t="s">
        <v>378</v>
      </c>
      <c r="C141" s="11" t="s">
        <v>379</v>
      </c>
      <c r="D141" s="12">
        <v>44041</v>
      </c>
      <c r="E141" s="12">
        <v>44041</v>
      </c>
      <c r="F141" s="13">
        <v>1341920</v>
      </c>
      <c r="G141" s="14">
        <v>0</v>
      </c>
      <c r="H141" s="9" t="s">
        <v>363</v>
      </c>
      <c r="I141" s="15">
        <v>860062147</v>
      </c>
      <c r="J141" s="16" t="s">
        <v>364</v>
      </c>
      <c r="K141" s="17">
        <v>388</v>
      </c>
      <c r="L141" s="18" t="s">
        <v>21</v>
      </c>
      <c r="M141" s="19">
        <v>2840</v>
      </c>
      <c r="N141" s="19">
        <v>0</v>
      </c>
      <c r="O141" s="19">
        <f t="shared" si="13"/>
        <v>1101920</v>
      </c>
      <c r="P141" s="17" t="s">
        <v>75</v>
      </c>
      <c r="R141" s="31"/>
    </row>
    <row r="142" spans="1:18" x14ac:dyDescent="0.3">
      <c r="A142" s="9" t="s">
        <v>284</v>
      </c>
      <c r="B142" s="10" t="s">
        <v>380</v>
      </c>
      <c r="C142" s="11" t="s">
        <v>381</v>
      </c>
      <c r="D142" s="12">
        <v>44041</v>
      </c>
      <c r="E142" s="12">
        <v>44041</v>
      </c>
      <c r="F142" s="13">
        <v>49100000</v>
      </c>
      <c r="G142" s="14">
        <v>0</v>
      </c>
      <c r="H142" s="9" t="s">
        <v>382</v>
      </c>
      <c r="I142" s="15">
        <v>900567130</v>
      </c>
      <c r="J142" s="16" t="s">
        <v>69</v>
      </c>
      <c r="K142" s="17">
        <v>1080</v>
      </c>
      <c r="L142" s="18" t="s">
        <v>70</v>
      </c>
      <c r="M142" s="19">
        <v>45000</v>
      </c>
      <c r="N142" s="19">
        <v>0</v>
      </c>
      <c r="O142" s="19">
        <f t="shared" si="13"/>
        <v>48600000</v>
      </c>
      <c r="P142" s="17" t="s">
        <v>69</v>
      </c>
      <c r="R142" s="31"/>
    </row>
    <row r="143" spans="1:18" x14ac:dyDescent="0.3">
      <c r="A143" s="9" t="s">
        <v>284</v>
      </c>
      <c r="B143" s="10" t="s">
        <v>383</v>
      </c>
      <c r="C143" s="11" t="s">
        <v>1779</v>
      </c>
      <c r="D143" s="12">
        <v>44085</v>
      </c>
      <c r="E143" s="12">
        <v>44083</v>
      </c>
      <c r="F143" s="13">
        <v>190000000</v>
      </c>
      <c r="G143" s="14">
        <v>0</v>
      </c>
      <c r="H143" s="9" t="s">
        <v>384</v>
      </c>
      <c r="I143" s="15">
        <v>900126632</v>
      </c>
      <c r="J143" s="16" t="s">
        <v>385</v>
      </c>
      <c r="K143" s="17">
        <v>763.42</v>
      </c>
      <c r="L143" s="18" t="s">
        <v>1139</v>
      </c>
      <c r="M143" s="19">
        <v>209142.89060571967</v>
      </c>
      <c r="N143" s="19">
        <f t="shared" ref="N143:N144" si="15">M143*0.19</f>
        <v>39737.149215086742</v>
      </c>
      <c r="O143" s="19">
        <f t="shared" si="13"/>
        <v>190000000.00000003</v>
      </c>
      <c r="P143" s="17" t="s">
        <v>87</v>
      </c>
      <c r="R143" s="31"/>
    </row>
    <row r="144" spans="1:18" x14ac:dyDescent="0.3">
      <c r="A144" s="9" t="s">
        <v>284</v>
      </c>
      <c r="B144" s="10" t="s">
        <v>386</v>
      </c>
      <c r="C144" s="11" t="s">
        <v>1780</v>
      </c>
      <c r="D144" s="12">
        <v>44124</v>
      </c>
      <c r="E144" s="12">
        <v>44126</v>
      </c>
      <c r="F144" s="13">
        <v>31256540</v>
      </c>
      <c r="G144" s="14">
        <v>0</v>
      </c>
      <c r="H144" s="9" t="s">
        <v>387</v>
      </c>
      <c r="I144" s="15">
        <v>830044858</v>
      </c>
      <c r="J144" s="16" t="s">
        <v>1754</v>
      </c>
      <c r="K144" s="17">
        <v>53</v>
      </c>
      <c r="L144" s="18" t="s">
        <v>92</v>
      </c>
      <c r="M144" s="44">
        <v>247792.45</v>
      </c>
      <c r="N144" s="19">
        <f t="shared" si="15"/>
        <v>47080.565500000004</v>
      </c>
      <c r="O144" s="19">
        <f>K144*(M144+N144)*2</f>
        <v>31256539.643000003</v>
      </c>
      <c r="P144" s="17" t="s">
        <v>93</v>
      </c>
      <c r="R144" s="31"/>
    </row>
    <row r="145" spans="1:18" x14ac:dyDescent="0.3">
      <c r="A145" s="9" t="s">
        <v>284</v>
      </c>
      <c r="B145" s="10" t="s">
        <v>388</v>
      </c>
      <c r="C145" s="11" t="s">
        <v>1781</v>
      </c>
      <c r="D145" s="12">
        <v>44160</v>
      </c>
      <c r="E145" s="12">
        <v>44160</v>
      </c>
      <c r="F145" s="13">
        <v>30398300</v>
      </c>
      <c r="G145" s="14">
        <v>0</v>
      </c>
      <c r="H145" s="9" t="s">
        <v>389</v>
      </c>
      <c r="I145" s="15">
        <v>901346888</v>
      </c>
      <c r="J145" s="16" t="s">
        <v>390</v>
      </c>
      <c r="K145" s="17">
        <f>+(5733*600)/1000</f>
        <v>3439.8</v>
      </c>
      <c r="L145" s="18" t="s">
        <v>36</v>
      </c>
      <c r="M145" s="19">
        <f>+(2599.77*1000)/600</f>
        <v>4332.95</v>
      </c>
      <c r="N145" s="19">
        <v>0</v>
      </c>
      <c r="O145" s="19">
        <f t="shared" si="13"/>
        <v>14904481.41</v>
      </c>
      <c r="P145" s="17" t="s">
        <v>161</v>
      </c>
      <c r="R145" s="31"/>
    </row>
    <row r="146" spans="1:18" x14ac:dyDescent="0.3">
      <c r="A146" s="9" t="s">
        <v>284</v>
      </c>
      <c r="B146" s="10" t="s">
        <v>388</v>
      </c>
      <c r="C146" s="11" t="s">
        <v>1781</v>
      </c>
      <c r="D146" s="12">
        <v>44160</v>
      </c>
      <c r="E146" s="12">
        <v>44160</v>
      </c>
      <c r="F146" s="13">
        <v>30398300</v>
      </c>
      <c r="G146" s="14">
        <v>0</v>
      </c>
      <c r="H146" s="9" t="s">
        <v>389</v>
      </c>
      <c r="I146" s="15">
        <v>901346888</v>
      </c>
      <c r="J146" s="16" t="s">
        <v>391</v>
      </c>
      <c r="K146" s="17">
        <v>4200</v>
      </c>
      <c r="L146" s="29" t="s">
        <v>2135</v>
      </c>
      <c r="M146" s="19">
        <v>3100</v>
      </c>
      <c r="N146" s="19">
        <f t="shared" ref="N146:N150" si="16">M146*0.19</f>
        <v>589</v>
      </c>
      <c r="O146" s="19">
        <f t="shared" si="13"/>
        <v>15493800</v>
      </c>
      <c r="P146" s="21" t="s">
        <v>656</v>
      </c>
      <c r="R146" s="31"/>
    </row>
    <row r="147" spans="1:18" x14ac:dyDescent="0.3">
      <c r="A147" s="9" t="s">
        <v>284</v>
      </c>
      <c r="B147" s="10" t="s">
        <v>392</v>
      </c>
      <c r="C147" s="11" t="s">
        <v>1782</v>
      </c>
      <c r="D147" s="12">
        <v>44175</v>
      </c>
      <c r="E147" s="12">
        <v>44175</v>
      </c>
      <c r="F147" s="13">
        <v>95397557</v>
      </c>
      <c r="G147" s="14">
        <v>0</v>
      </c>
      <c r="H147" s="9" t="s">
        <v>393</v>
      </c>
      <c r="I147" s="15">
        <v>900584757</v>
      </c>
      <c r="J147" s="16" t="s">
        <v>394</v>
      </c>
      <c r="K147" s="17">
        <v>284</v>
      </c>
      <c r="L147" s="18" t="s">
        <v>21</v>
      </c>
      <c r="M147" s="19">
        <v>219540</v>
      </c>
      <c r="N147" s="19">
        <f t="shared" si="16"/>
        <v>41712.6</v>
      </c>
      <c r="O147" s="19">
        <f t="shared" si="13"/>
        <v>74195738.400000006</v>
      </c>
      <c r="P147" s="16" t="s">
        <v>119</v>
      </c>
      <c r="R147" s="31"/>
    </row>
    <row r="148" spans="1:18" x14ac:dyDescent="0.3">
      <c r="A148" s="9" t="s">
        <v>284</v>
      </c>
      <c r="B148" s="10" t="s">
        <v>392</v>
      </c>
      <c r="C148" s="11" t="s">
        <v>1782</v>
      </c>
      <c r="D148" s="12">
        <v>44175</v>
      </c>
      <c r="E148" s="12">
        <v>44175</v>
      </c>
      <c r="F148" s="13">
        <v>95397557</v>
      </c>
      <c r="G148" s="14">
        <v>0</v>
      </c>
      <c r="H148" s="9" t="s">
        <v>393</v>
      </c>
      <c r="I148" s="15">
        <v>900584757</v>
      </c>
      <c r="J148" s="16" t="s">
        <v>120</v>
      </c>
      <c r="K148" s="17">
        <v>100</v>
      </c>
      <c r="L148" s="18" t="s">
        <v>21</v>
      </c>
      <c r="M148" s="19">
        <v>178166.54</v>
      </c>
      <c r="N148" s="19">
        <f t="shared" si="16"/>
        <v>33851.642599999999</v>
      </c>
      <c r="O148" s="19">
        <f t="shared" si="13"/>
        <v>21201818.260000002</v>
      </c>
      <c r="P148" s="17" t="s">
        <v>120</v>
      </c>
      <c r="R148" s="31"/>
    </row>
    <row r="149" spans="1:18" x14ac:dyDescent="0.3">
      <c r="A149" s="9" t="s">
        <v>284</v>
      </c>
      <c r="B149" s="10" t="s">
        <v>395</v>
      </c>
      <c r="C149" s="11" t="s">
        <v>1783</v>
      </c>
      <c r="D149" s="12">
        <v>44077</v>
      </c>
      <c r="E149" s="12">
        <v>44077</v>
      </c>
      <c r="F149" s="13">
        <v>845880991</v>
      </c>
      <c r="G149" s="14">
        <v>0</v>
      </c>
      <c r="H149" s="9" t="s">
        <v>1944</v>
      </c>
      <c r="I149" s="15">
        <v>900564459</v>
      </c>
      <c r="J149" s="16" t="s">
        <v>1859</v>
      </c>
      <c r="K149" s="17">
        <v>207</v>
      </c>
      <c r="L149" s="18" t="s">
        <v>21</v>
      </c>
      <c r="M149" s="19">
        <v>1991416</v>
      </c>
      <c r="N149" s="19">
        <f t="shared" si="16"/>
        <v>378369.04</v>
      </c>
      <c r="O149" s="19">
        <f t="shared" si="13"/>
        <v>490545503.28000003</v>
      </c>
      <c r="P149" s="17" t="s">
        <v>1751</v>
      </c>
      <c r="R149" s="31"/>
    </row>
    <row r="150" spans="1:18" x14ac:dyDescent="0.3">
      <c r="A150" s="9" t="s">
        <v>284</v>
      </c>
      <c r="B150" s="10" t="s">
        <v>395</v>
      </c>
      <c r="C150" s="11" t="s">
        <v>1783</v>
      </c>
      <c r="D150" s="12">
        <v>44077</v>
      </c>
      <c r="E150" s="12">
        <v>44077</v>
      </c>
      <c r="F150" s="13">
        <v>845880991</v>
      </c>
      <c r="G150" s="14">
        <v>0</v>
      </c>
      <c r="H150" s="9" t="s">
        <v>1944</v>
      </c>
      <c r="I150" s="15">
        <v>900564459</v>
      </c>
      <c r="J150" s="16" t="s">
        <v>1860</v>
      </c>
      <c r="K150" s="17">
        <v>150</v>
      </c>
      <c r="L150" s="18" t="s">
        <v>21</v>
      </c>
      <c r="M150" s="19">
        <v>1990675</v>
      </c>
      <c r="N150" s="19">
        <f t="shared" si="16"/>
        <v>378228.25</v>
      </c>
      <c r="O150" s="19">
        <f t="shared" si="13"/>
        <v>355335487.5</v>
      </c>
      <c r="P150" s="17" t="s">
        <v>1751</v>
      </c>
      <c r="R150" s="31"/>
    </row>
    <row r="151" spans="1:18" x14ac:dyDescent="0.3">
      <c r="A151" s="9" t="s">
        <v>284</v>
      </c>
      <c r="B151" s="10" t="s">
        <v>397</v>
      </c>
      <c r="C151" s="11" t="s">
        <v>1781</v>
      </c>
      <c r="D151" s="12">
        <v>44092</v>
      </c>
      <c r="E151" s="12">
        <v>44092</v>
      </c>
      <c r="F151" s="13">
        <v>68690000</v>
      </c>
      <c r="G151" s="14">
        <v>0</v>
      </c>
      <c r="H151" s="9" t="s">
        <v>398</v>
      </c>
      <c r="I151" s="15">
        <v>900401801</v>
      </c>
      <c r="J151" s="16" t="s">
        <v>399</v>
      </c>
      <c r="K151" s="17">
        <v>138000</v>
      </c>
      <c r="L151" s="18" t="s">
        <v>21</v>
      </c>
      <c r="M151" s="19">
        <v>497.75362318840581</v>
      </c>
      <c r="N151" s="19">
        <v>0</v>
      </c>
      <c r="O151" s="19">
        <f t="shared" si="13"/>
        <v>68690000</v>
      </c>
      <c r="P151" s="17" t="s">
        <v>31</v>
      </c>
      <c r="R151" s="31"/>
    </row>
    <row r="152" spans="1:18" x14ac:dyDescent="0.3">
      <c r="A152" s="9" t="s">
        <v>284</v>
      </c>
      <c r="B152" s="10" t="s">
        <v>400</v>
      </c>
      <c r="C152" s="11" t="s">
        <v>1784</v>
      </c>
      <c r="D152" s="12">
        <v>44092</v>
      </c>
      <c r="E152" s="12">
        <v>44092</v>
      </c>
      <c r="F152" s="13">
        <v>20720013.800000001</v>
      </c>
      <c r="G152" s="14">
        <v>0</v>
      </c>
      <c r="H152" s="9" t="s">
        <v>401</v>
      </c>
      <c r="I152" s="15">
        <v>901211678</v>
      </c>
      <c r="J152" s="16" t="s">
        <v>37</v>
      </c>
      <c r="K152" s="17">
        <v>4140</v>
      </c>
      <c r="L152" s="18" t="s">
        <v>36</v>
      </c>
      <c r="M152" s="19">
        <v>5004.8342512077297</v>
      </c>
      <c r="N152" s="19">
        <v>0</v>
      </c>
      <c r="O152" s="19">
        <f t="shared" si="13"/>
        <v>20720013.800000001</v>
      </c>
      <c r="P152" s="17" t="s">
        <v>37</v>
      </c>
      <c r="R152" s="31"/>
    </row>
    <row r="153" spans="1:18" x14ac:dyDescent="0.3">
      <c r="A153" s="9" t="s">
        <v>402</v>
      </c>
      <c r="B153" s="10" t="s">
        <v>403</v>
      </c>
      <c r="C153" s="11" t="s">
        <v>404</v>
      </c>
      <c r="D153" s="12">
        <v>43900</v>
      </c>
      <c r="E153" s="12">
        <v>43900</v>
      </c>
      <c r="F153" s="13">
        <v>48156480</v>
      </c>
      <c r="G153" s="14">
        <v>0</v>
      </c>
      <c r="H153" s="9" t="s">
        <v>405</v>
      </c>
      <c r="I153" s="15">
        <v>830037946</v>
      </c>
      <c r="J153" s="16" t="s">
        <v>406</v>
      </c>
      <c r="K153" s="17">
        <v>1920</v>
      </c>
      <c r="L153" s="18" t="s">
        <v>53</v>
      </c>
      <c r="M153" s="19">
        <v>18252.100840336134</v>
      </c>
      <c r="N153" s="19">
        <f t="shared" ref="N153:N155" si="17">M153*0.19</f>
        <v>3467.8991596638652</v>
      </c>
      <c r="O153" s="19">
        <f t="shared" si="13"/>
        <v>41702400</v>
      </c>
      <c r="P153" s="21" t="s">
        <v>656</v>
      </c>
      <c r="R153" s="31"/>
    </row>
    <row r="154" spans="1:18" x14ac:dyDescent="0.3">
      <c r="A154" s="9" t="s">
        <v>402</v>
      </c>
      <c r="B154" s="10" t="s">
        <v>403</v>
      </c>
      <c r="C154" s="11" t="s">
        <v>404</v>
      </c>
      <c r="D154" s="12">
        <v>43900</v>
      </c>
      <c r="E154" s="12">
        <v>43900</v>
      </c>
      <c r="F154" s="13">
        <v>48156480</v>
      </c>
      <c r="G154" s="14">
        <v>0</v>
      </c>
      <c r="H154" s="9" t="s">
        <v>405</v>
      </c>
      <c r="I154" s="15">
        <v>830037946</v>
      </c>
      <c r="J154" s="16" t="s">
        <v>407</v>
      </c>
      <c r="K154" s="46">
        <v>1944</v>
      </c>
      <c r="L154" s="18" t="s">
        <v>36</v>
      </c>
      <c r="M154" s="19">
        <v>2789.9159663865548</v>
      </c>
      <c r="N154" s="19">
        <f t="shared" si="17"/>
        <v>530.0840336134454</v>
      </c>
      <c r="O154" s="19">
        <f t="shared" si="13"/>
        <v>6454080</v>
      </c>
      <c r="P154" s="17" t="s">
        <v>39</v>
      </c>
      <c r="R154" s="31"/>
    </row>
    <row r="155" spans="1:18" x14ac:dyDescent="0.3">
      <c r="A155" s="9" t="s">
        <v>402</v>
      </c>
      <c r="B155" s="10" t="s">
        <v>408</v>
      </c>
      <c r="C155" s="11" t="s">
        <v>409</v>
      </c>
      <c r="D155" s="12">
        <v>43916</v>
      </c>
      <c r="E155" s="12">
        <v>43917</v>
      </c>
      <c r="F155" s="13">
        <v>21397390</v>
      </c>
      <c r="G155" s="14">
        <v>0</v>
      </c>
      <c r="H155" s="9" t="s">
        <v>410</v>
      </c>
      <c r="I155" s="15">
        <v>901165706</v>
      </c>
      <c r="J155" s="16" t="s">
        <v>411</v>
      </c>
      <c r="K155" s="17">
        <v>100</v>
      </c>
      <c r="L155" s="18" t="s">
        <v>21</v>
      </c>
      <c r="M155" s="19">
        <v>13500</v>
      </c>
      <c r="N155" s="19">
        <f t="shared" si="17"/>
        <v>2565</v>
      </c>
      <c r="O155" s="19">
        <f t="shared" si="13"/>
        <v>1606500</v>
      </c>
      <c r="P155" s="17" t="s">
        <v>412</v>
      </c>
      <c r="R155" s="31"/>
    </row>
    <row r="156" spans="1:18" x14ac:dyDescent="0.3">
      <c r="A156" s="9" t="s">
        <v>402</v>
      </c>
      <c r="B156" s="10" t="s">
        <v>408</v>
      </c>
      <c r="C156" s="11" t="s">
        <v>409</v>
      </c>
      <c r="D156" s="12">
        <v>43916</v>
      </c>
      <c r="E156" s="12">
        <v>43917</v>
      </c>
      <c r="F156" s="13">
        <v>21397390</v>
      </c>
      <c r="G156" s="14">
        <v>0</v>
      </c>
      <c r="H156" s="9" t="s">
        <v>410</v>
      </c>
      <c r="I156" s="15">
        <v>901165706</v>
      </c>
      <c r="J156" s="16" t="s">
        <v>413</v>
      </c>
      <c r="K156" s="17">
        <v>4954</v>
      </c>
      <c r="L156" s="18" t="s">
        <v>21</v>
      </c>
      <c r="M156" s="19">
        <v>1785</v>
      </c>
      <c r="N156" s="19">
        <v>0</v>
      </c>
      <c r="O156" s="19">
        <f t="shared" si="13"/>
        <v>8842890</v>
      </c>
      <c r="P156" s="17" t="s">
        <v>31</v>
      </c>
      <c r="R156" s="31"/>
    </row>
    <row r="157" spans="1:18" x14ac:dyDescent="0.3">
      <c r="A157" s="9" t="s">
        <v>402</v>
      </c>
      <c r="B157" s="10" t="s">
        <v>408</v>
      </c>
      <c r="C157" s="11" t="s">
        <v>409</v>
      </c>
      <c r="D157" s="12">
        <v>43916</v>
      </c>
      <c r="E157" s="12">
        <v>43917</v>
      </c>
      <c r="F157" s="13">
        <v>21397390</v>
      </c>
      <c r="G157" s="14">
        <v>0</v>
      </c>
      <c r="H157" s="9" t="s">
        <v>410</v>
      </c>
      <c r="I157" s="15">
        <v>901165706</v>
      </c>
      <c r="J157" s="16" t="s">
        <v>414</v>
      </c>
      <c r="K157" s="17">
        <v>2000</v>
      </c>
      <c r="L157" s="18" t="s">
        <v>70</v>
      </c>
      <c r="M157" s="19">
        <v>2380</v>
      </c>
      <c r="N157" s="19">
        <v>0</v>
      </c>
      <c r="O157" s="19">
        <f t="shared" si="13"/>
        <v>4760000</v>
      </c>
      <c r="P157" s="17" t="s">
        <v>69</v>
      </c>
      <c r="R157" s="31"/>
    </row>
    <row r="158" spans="1:18" x14ac:dyDescent="0.3">
      <c r="A158" s="9" t="s">
        <v>402</v>
      </c>
      <c r="B158" s="10" t="s">
        <v>408</v>
      </c>
      <c r="C158" s="11" t="s">
        <v>409</v>
      </c>
      <c r="D158" s="12">
        <v>43916</v>
      </c>
      <c r="E158" s="12">
        <v>43917</v>
      </c>
      <c r="F158" s="13">
        <v>21397390</v>
      </c>
      <c r="G158" s="14">
        <v>0</v>
      </c>
      <c r="H158" s="9" t="s">
        <v>410</v>
      </c>
      <c r="I158" s="15">
        <v>901165706</v>
      </c>
      <c r="J158" s="16" t="s">
        <v>35</v>
      </c>
      <c r="K158" s="17">
        <v>100</v>
      </c>
      <c r="L158" s="18" t="s">
        <v>36</v>
      </c>
      <c r="M158" s="19">
        <v>17850</v>
      </c>
      <c r="N158" s="19">
        <v>0</v>
      </c>
      <c r="O158" s="19">
        <f t="shared" si="13"/>
        <v>1785000</v>
      </c>
      <c r="P158" s="17" t="s">
        <v>37</v>
      </c>
      <c r="R158" s="31"/>
    </row>
    <row r="159" spans="1:18" x14ac:dyDescent="0.3">
      <c r="A159" s="9" t="s">
        <v>402</v>
      </c>
      <c r="B159" s="10" t="s">
        <v>408</v>
      </c>
      <c r="C159" s="11" t="s">
        <v>415</v>
      </c>
      <c r="D159" s="12">
        <v>43916</v>
      </c>
      <c r="E159" s="12">
        <v>43917</v>
      </c>
      <c r="F159" s="13">
        <v>21397390</v>
      </c>
      <c r="G159" s="14">
        <v>0</v>
      </c>
      <c r="H159" s="9" t="s">
        <v>410</v>
      </c>
      <c r="I159" s="15">
        <v>901165706</v>
      </c>
      <c r="J159" s="16" t="s">
        <v>416</v>
      </c>
      <c r="K159" s="17">
        <v>100</v>
      </c>
      <c r="L159" s="18" t="s">
        <v>21</v>
      </c>
      <c r="M159" s="19">
        <v>44030</v>
      </c>
      <c r="N159" s="19">
        <v>0</v>
      </c>
      <c r="O159" s="19">
        <f t="shared" si="13"/>
        <v>4403000</v>
      </c>
      <c r="P159" s="17" t="s">
        <v>22</v>
      </c>
      <c r="R159" s="31"/>
    </row>
    <row r="160" spans="1:18" x14ac:dyDescent="0.3">
      <c r="A160" s="9" t="s">
        <v>402</v>
      </c>
      <c r="B160" s="10" t="s">
        <v>417</v>
      </c>
      <c r="C160" s="11" t="s">
        <v>418</v>
      </c>
      <c r="D160" s="12">
        <v>43958</v>
      </c>
      <c r="E160" s="12">
        <v>43958</v>
      </c>
      <c r="F160" s="13">
        <v>11615000</v>
      </c>
      <c r="G160" s="14">
        <v>0</v>
      </c>
      <c r="H160" s="9" t="s">
        <v>419</v>
      </c>
      <c r="I160" s="15">
        <v>900017447</v>
      </c>
      <c r="J160" s="16" t="s">
        <v>420</v>
      </c>
      <c r="K160" s="17">
        <v>20</v>
      </c>
      <c r="L160" s="18" t="s">
        <v>21</v>
      </c>
      <c r="M160" s="19">
        <v>580750</v>
      </c>
      <c r="N160" s="19">
        <v>0</v>
      </c>
      <c r="O160" s="19">
        <f t="shared" si="13"/>
        <v>11615000</v>
      </c>
      <c r="P160" s="17" t="s">
        <v>185</v>
      </c>
      <c r="R160" s="31"/>
    </row>
    <row r="161" spans="1:18" x14ac:dyDescent="0.3">
      <c r="A161" s="9" t="s">
        <v>402</v>
      </c>
      <c r="B161" s="10" t="s">
        <v>421</v>
      </c>
      <c r="C161" s="11" t="s">
        <v>422</v>
      </c>
      <c r="D161" s="12">
        <v>43962</v>
      </c>
      <c r="E161" s="12">
        <v>43962</v>
      </c>
      <c r="F161" s="13">
        <v>32520000</v>
      </c>
      <c r="G161" s="14">
        <v>0</v>
      </c>
      <c r="H161" s="9" t="s">
        <v>382</v>
      </c>
      <c r="I161" s="15">
        <v>900567130</v>
      </c>
      <c r="J161" s="16" t="s">
        <v>423</v>
      </c>
      <c r="K161" s="17">
        <v>2168</v>
      </c>
      <c r="L161" s="18" t="s">
        <v>36</v>
      </c>
      <c r="M161" s="19">
        <v>15000</v>
      </c>
      <c r="N161" s="19">
        <v>0</v>
      </c>
      <c r="O161" s="19">
        <f t="shared" si="13"/>
        <v>32520000</v>
      </c>
      <c r="P161" s="17" t="s">
        <v>37</v>
      </c>
      <c r="R161" s="31"/>
    </row>
    <row r="162" spans="1:18" x14ac:dyDescent="0.3">
      <c r="A162" s="9" t="s">
        <v>402</v>
      </c>
      <c r="B162" s="10" t="s">
        <v>424</v>
      </c>
      <c r="C162" s="11" t="s">
        <v>425</v>
      </c>
      <c r="D162" s="12">
        <v>43969</v>
      </c>
      <c r="E162" s="12">
        <v>43969</v>
      </c>
      <c r="F162" s="13">
        <v>1719600</v>
      </c>
      <c r="G162" s="14">
        <v>1719600</v>
      </c>
      <c r="H162" s="9" t="s">
        <v>63</v>
      </c>
      <c r="I162" s="15">
        <v>890900943</v>
      </c>
      <c r="J162" s="16" t="s">
        <v>426</v>
      </c>
      <c r="K162" s="17">
        <v>600</v>
      </c>
      <c r="L162" s="18" t="s">
        <v>21</v>
      </c>
      <c r="M162" s="19">
        <v>5732</v>
      </c>
      <c r="N162" s="19">
        <v>0</v>
      </c>
      <c r="O162" s="19">
        <f t="shared" si="13"/>
        <v>3439200</v>
      </c>
      <c r="P162" s="17" t="s">
        <v>75</v>
      </c>
      <c r="R162" s="31"/>
    </row>
    <row r="163" spans="1:18" x14ac:dyDescent="0.3">
      <c r="A163" s="9" t="s">
        <v>402</v>
      </c>
      <c r="B163" s="10" t="s">
        <v>427</v>
      </c>
      <c r="C163" s="11" t="s">
        <v>428</v>
      </c>
      <c r="D163" s="12">
        <v>43969</v>
      </c>
      <c r="E163" s="12">
        <v>43969</v>
      </c>
      <c r="F163" s="13">
        <v>15800400</v>
      </c>
      <c r="G163" s="14">
        <v>0</v>
      </c>
      <c r="H163" s="9" t="s">
        <v>382</v>
      </c>
      <c r="I163" s="15">
        <v>900567130</v>
      </c>
      <c r="J163" s="16" t="s">
        <v>429</v>
      </c>
      <c r="K163" s="46">
        <v>3032.00216</v>
      </c>
      <c r="L163" s="18" t="s">
        <v>36</v>
      </c>
      <c r="M163" s="19">
        <v>5211.21</v>
      </c>
      <c r="N163" s="19">
        <v>0</v>
      </c>
      <c r="O163" s="19">
        <f t="shared" si="13"/>
        <v>15800399.9762136</v>
      </c>
      <c r="P163" s="17" t="s">
        <v>39</v>
      </c>
      <c r="R163" s="31"/>
    </row>
    <row r="164" spans="1:18" x14ac:dyDescent="0.3">
      <c r="A164" s="9" t="s">
        <v>402</v>
      </c>
      <c r="B164" s="10" t="s">
        <v>174</v>
      </c>
      <c r="C164" s="11" t="s">
        <v>430</v>
      </c>
      <c r="D164" s="12">
        <v>43970</v>
      </c>
      <c r="E164" s="12">
        <v>43972</v>
      </c>
      <c r="F164" s="13">
        <v>87000000</v>
      </c>
      <c r="G164" s="14">
        <v>0</v>
      </c>
      <c r="H164" s="9" t="s">
        <v>431</v>
      </c>
      <c r="I164" s="15">
        <v>805026532</v>
      </c>
      <c r="J164" s="16" t="s">
        <v>176</v>
      </c>
      <c r="K164" s="17">
        <v>58000</v>
      </c>
      <c r="L164" s="18" t="s">
        <v>21</v>
      </c>
      <c r="M164" s="19">
        <v>1500</v>
      </c>
      <c r="N164" s="19">
        <v>0</v>
      </c>
      <c r="O164" s="19">
        <f t="shared" si="13"/>
        <v>87000000</v>
      </c>
      <c r="P164" s="17" t="s">
        <v>31</v>
      </c>
      <c r="R164" s="31"/>
    </row>
    <row r="165" spans="1:18" x14ac:dyDescent="0.3">
      <c r="A165" s="9" t="s">
        <v>402</v>
      </c>
      <c r="B165" s="10" t="s">
        <v>432</v>
      </c>
      <c r="C165" s="11" t="s">
        <v>433</v>
      </c>
      <c r="D165" s="12">
        <v>43972</v>
      </c>
      <c r="E165" s="12">
        <v>43972</v>
      </c>
      <c r="F165" s="13">
        <v>2520000</v>
      </c>
      <c r="G165" s="14">
        <v>0</v>
      </c>
      <c r="H165" s="9" t="s">
        <v>405</v>
      </c>
      <c r="I165" s="15">
        <v>830037946</v>
      </c>
      <c r="J165" s="16" t="s">
        <v>434</v>
      </c>
      <c r="K165" s="17">
        <v>1500</v>
      </c>
      <c r="L165" s="18" t="s">
        <v>21</v>
      </c>
      <c r="M165" s="19">
        <v>1411.7647058823529</v>
      </c>
      <c r="N165" s="19">
        <f>M165*0.19</f>
        <v>268.23529411764707</v>
      </c>
      <c r="O165" s="19">
        <f t="shared" si="13"/>
        <v>2520000</v>
      </c>
      <c r="P165" s="17" t="s">
        <v>187</v>
      </c>
      <c r="R165" s="31"/>
    </row>
    <row r="166" spans="1:18" x14ac:dyDescent="0.3">
      <c r="A166" s="9" t="s">
        <v>402</v>
      </c>
      <c r="B166" s="10" t="s">
        <v>435</v>
      </c>
      <c r="C166" s="11" t="s">
        <v>436</v>
      </c>
      <c r="D166" s="12">
        <v>43973</v>
      </c>
      <c r="E166" s="12">
        <v>43973</v>
      </c>
      <c r="F166" s="13">
        <v>27600000</v>
      </c>
      <c r="G166" s="14">
        <v>0</v>
      </c>
      <c r="H166" s="9" t="s">
        <v>382</v>
      </c>
      <c r="I166" s="15">
        <v>900567130</v>
      </c>
      <c r="J166" s="16" t="s">
        <v>437</v>
      </c>
      <c r="K166" s="17">
        <v>3000</v>
      </c>
      <c r="L166" s="18" t="s">
        <v>36</v>
      </c>
      <c r="M166" s="19">
        <v>9200</v>
      </c>
      <c r="N166" s="19">
        <v>0</v>
      </c>
      <c r="O166" s="19">
        <f t="shared" si="13"/>
        <v>27600000</v>
      </c>
      <c r="P166" s="17" t="s">
        <v>161</v>
      </c>
      <c r="R166" s="31"/>
    </row>
    <row r="167" spans="1:18" x14ac:dyDescent="0.3">
      <c r="A167" s="9" t="s">
        <v>402</v>
      </c>
      <c r="B167" s="10" t="s">
        <v>438</v>
      </c>
      <c r="C167" s="11" t="s">
        <v>439</v>
      </c>
      <c r="D167" s="12">
        <v>43977</v>
      </c>
      <c r="E167" s="12">
        <v>43977</v>
      </c>
      <c r="F167" s="13">
        <v>124500180</v>
      </c>
      <c r="G167" s="14">
        <v>60547200</v>
      </c>
      <c r="H167" s="9" t="s">
        <v>440</v>
      </c>
      <c r="I167" s="15">
        <v>900584757</v>
      </c>
      <c r="J167" s="16" t="s">
        <v>441</v>
      </c>
      <c r="K167" s="17">
        <v>489</v>
      </c>
      <c r="L167" s="18" t="s">
        <v>21</v>
      </c>
      <c r="M167" s="19">
        <v>318000</v>
      </c>
      <c r="N167" s="19">
        <f t="shared" ref="N167:N169" si="18">M167*0.19</f>
        <v>60420</v>
      </c>
      <c r="O167" s="19">
        <f t="shared" si="13"/>
        <v>185047380</v>
      </c>
      <c r="P167" s="16" t="s">
        <v>119</v>
      </c>
      <c r="R167" s="31"/>
    </row>
    <row r="168" spans="1:18" x14ac:dyDescent="0.3">
      <c r="A168" s="9" t="s">
        <v>402</v>
      </c>
      <c r="B168" s="10" t="s">
        <v>442</v>
      </c>
      <c r="C168" s="11" t="s">
        <v>443</v>
      </c>
      <c r="D168" s="12">
        <v>43977</v>
      </c>
      <c r="E168" s="12">
        <v>43977</v>
      </c>
      <c r="F168" s="13">
        <v>64557207</v>
      </c>
      <c r="G168" s="14">
        <v>7566432</v>
      </c>
      <c r="H168" s="9" t="s">
        <v>60</v>
      </c>
      <c r="I168" s="15">
        <v>830001381</v>
      </c>
      <c r="J168" s="16" t="s">
        <v>444</v>
      </c>
      <c r="K168" s="17">
        <v>5586</v>
      </c>
      <c r="L168" s="18" t="s">
        <v>53</v>
      </c>
      <c r="M168" s="19">
        <v>10850</v>
      </c>
      <c r="N168" s="19">
        <f t="shared" si="18"/>
        <v>2061.5</v>
      </c>
      <c r="O168" s="19">
        <f t="shared" si="13"/>
        <v>72123639</v>
      </c>
      <c r="P168" s="21" t="s">
        <v>656</v>
      </c>
      <c r="R168" s="31"/>
    </row>
    <row r="169" spans="1:18" x14ac:dyDescent="0.3">
      <c r="A169" s="9" t="s">
        <v>402</v>
      </c>
      <c r="B169" s="10" t="s">
        <v>177</v>
      </c>
      <c r="C169" s="11" t="s">
        <v>445</v>
      </c>
      <c r="D169" s="12">
        <v>43990</v>
      </c>
      <c r="E169" s="12">
        <v>43991</v>
      </c>
      <c r="F169" s="13">
        <v>9282000</v>
      </c>
      <c r="G169" s="14">
        <v>0</v>
      </c>
      <c r="H169" s="9" t="s">
        <v>446</v>
      </c>
      <c r="I169" s="15">
        <v>900372268</v>
      </c>
      <c r="J169" s="16" t="s">
        <v>447</v>
      </c>
      <c r="K169" s="17">
        <v>13</v>
      </c>
      <c r="L169" s="18" t="s">
        <v>21</v>
      </c>
      <c r="M169" s="19">
        <v>600000</v>
      </c>
      <c r="N169" s="19">
        <f t="shared" si="18"/>
        <v>114000</v>
      </c>
      <c r="O169" s="19">
        <f t="shared" si="13"/>
        <v>9282000</v>
      </c>
      <c r="P169" s="17" t="s">
        <v>65</v>
      </c>
      <c r="R169" s="31"/>
    </row>
    <row r="170" spans="1:18" x14ac:dyDescent="0.3">
      <c r="A170" s="9" t="s">
        <v>402</v>
      </c>
      <c r="B170" s="10" t="s">
        <v>181</v>
      </c>
      <c r="C170" s="11" t="s">
        <v>448</v>
      </c>
      <c r="D170" s="12">
        <v>43990</v>
      </c>
      <c r="E170" s="12">
        <v>43991</v>
      </c>
      <c r="F170" s="13">
        <v>87724140</v>
      </c>
      <c r="G170" s="14">
        <v>87708173</v>
      </c>
      <c r="H170" s="9" t="s">
        <v>449</v>
      </c>
      <c r="I170" s="15">
        <v>800078360</v>
      </c>
      <c r="J170" s="16" t="s">
        <v>450</v>
      </c>
      <c r="K170" s="17">
        <v>2569</v>
      </c>
      <c r="L170" s="18" t="s">
        <v>70</v>
      </c>
      <c r="M170" s="19">
        <v>63077</v>
      </c>
      <c r="N170" s="19">
        <v>0</v>
      </c>
      <c r="O170" s="19">
        <f t="shared" si="13"/>
        <v>162044813</v>
      </c>
      <c r="P170" s="17" t="s">
        <v>69</v>
      </c>
      <c r="R170" s="31"/>
    </row>
    <row r="171" spans="1:18" x14ac:dyDescent="0.3">
      <c r="A171" s="9" t="s">
        <v>402</v>
      </c>
      <c r="B171" s="10" t="s">
        <v>181</v>
      </c>
      <c r="C171" s="11" t="s">
        <v>448</v>
      </c>
      <c r="D171" s="12">
        <v>43990</v>
      </c>
      <c r="E171" s="12">
        <v>43991</v>
      </c>
      <c r="F171" s="13">
        <v>87724140</v>
      </c>
      <c r="G171" s="14">
        <v>87708173</v>
      </c>
      <c r="H171" s="9" t="s">
        <v>449</v>
      </c>
      <c r="I171" s="15">
        <v>800078360</v>
      </c>
      <c r="J171" s="16" t="s">
        <v>328</v>
      </c>
      <c r="K171" s="17">
        <v>75</v>
      </c>
      <c r="L171" s="18" t="s">
        <v>21</v>
      </c>
      <c r="M171" s="19">
        <v>150000</v>
      </c>
      <c r="N171" s="19">
        <f>M171*0.19</f>
        <v>28500</v>
      </c>
      <c r="O171" s="19">
        <f t="shared" si="13"/>
        <v>13387500</v>
      </c>
      <c r="P171" s="17" t="s">
        <v>328</v>
      </c>
      <c r="R171" s="31"/>
    </row>
    <row r="172" spans="1:18" x14ac:dyDescent="0.3">
      <c r="A172" s="9" t="s">
        <v>402</v>
      </c>
      <c r="B172" s="10" t="s">
        <v>451</v>
      </c>
      <c r="C172" s="11" t="s">
        <v>452</v>
      </c>
      <c r="D172" s="12">
        <v>43999</v>
      </c>
      <c r="E172" s="12">
        <v>43999</v>
      </c>
      <c r="F172" s="13">
        <v>21212130</v>
      </c>
      <c r="G172" s="14">
        <v>0</v>
      </c>
      <c r="H172" s="9" t="s">
        <v>453</v>
      </c>
      <c r="I172" s="15">
        <v>890307682</v>
      </c>
      <c r="J172" s="16" t="s">
        <v>74</v>
      </c>
      <c r="K172" s="17">
        <v>3000</v>
      </c>
      <c r="L172" s="18" t="s">
        <v>21</v>
      </c>
      <c r="M172" s="19">
        <v>7070.71</v>
      </c>
      <c r="N172" s="19">
        <v>0</v>
      </c>
      <c r="O172" s="19">
        <f t="shared" si="13"/>
        <v>21212130</v>
      </c>
      <c r="P172" s="17" t="s">
        <v>75</v>
      </c>
      <c r="R172" s="31"/>
    </row>
    <row r="173" spans="1:18" x14ac:dyDescent="0.3">
      <c r="A173" s="9" t="s">
        <v>402</v>
      </c>
      <c r="B173" s="10" t="s">
        <v>454</v>
      </c>
      <c r="C173" s="11" t="s">
        <v>455</v>
      </c>
      <c r="D173" s="12">
        <v>44006</v>
      </c>
      <c r="E173" s="12">
        <v>44012</v>
      </c>
      <c r="F173" s="13">
        <v>310500000</v>
      </c>
      <c r="G173" s="14">
        <v>0</v>
      </c>
      <c r="H173" s="9" t="s">
        <v>456</v>
      </c>
      <c r="I173" s="15">
        <v>900063271</v>
      </c>
      <c r="J173" s="16" t="s">
        <v>457</v>
      </c>
      <c r="K173" s="17">
        <v>23</v>
      </c>
      <c r="L173" s="18" t="s">
        <v>44</v>
      </c>
      <c r="M173" s="19">
        <v>2250000</v>
      </c>
      <c r="N173" s="19">
        <v>0</v>
      </c>
      <c r="O173" s="19">
        <f>K173*(M173+N173)*6</f>
        <v>310500000</v>
      </c>
      <c r="P173" s="17" t="s">
        <v>45</v>
      </c>
      <c r="R173" s="31"/>
    </row>
    <row r="174" spans="1:18" x14ac:dyDescent="0.3">
      <c r="A174" s="9" t="s">
        <v>402</v>
      </c>
      <c r="B174" s="10" t="s">
        <v>192</v>
      </c>
      <c r="C174" s="11" t="s">
        <v>458</v>
      </c>
      <c r="D174" s="12">
        <v>44018</v>
      </c>
      <c r="E174" s="12">
        <v>44020</v>
      </c>
      <c r="F174" s="13">
        <v>13711200</v>
      </c>
      <c r="G174" s="14">
        <v>0</v>
      </c>
      <c r="H174" s="9" t="s">
        <v>459</v>
      </c>
      <c r="I174" s="15">
        <v>830501019</v>
      </c>
      <c r="J174" s="16" t="s">
        <v>460</v>
      </c>
      <c r="K174" s="17">
        <v>60</v>
      </c>
      <c r="L174" s="18" t="s">
        <v>21</v>
      </c>
      <c r="M174" s="19">
        <v>108000</v>
      </c>
      <c r="N174" s="19">
        <f>M174*0.19</f>
        <v>20520</v>
      </c>
      <c r="O174" s="19">
        <f t="shared" si="13"/>
        <v>7711200</v>
      </c>
      <c r="P174" s="17" t="s">
        <v>82</v>
      </c>
      <c r="R174" s="31"/>
    </row>
    <row r="175" spans="1:18" x14ac:dyDescent="0.3">
      <c r="A175" s="9" t="s">
        <v>402</v>
      </c>
      <c r="B175" s="10" t="s">
        <v>192</v>
      </c>
      <c r="C175" s="11" t="s">
        <v>458</v>
      </c>
      <c r="D175" s="12">
        <v>44018</v>
      </c>
      <c r="E175" s="12">
        <v>44020</v>
      </c>
      <c r="F175" s="13">
        <v>13711200</v>
      </c>
      <c r="G175" s="14">
        <v>0</v>
      </c>
      <c r="H175" s="9" t="s">
        <v>459</v>
      </c>
      <c r="I175" s="15">
        <v>830501019</v>
      </c>
      <c r="J175" s="16" t="s">
        <v>461</v>
      </c>
      <c r="K175" s="17">
        <v>50</v>
      </c>
      <c r="L175" s="18" t="s">
        <v>21</v>
      </c>
      <c r="M175" s="19">
        <v>120000</v>
      </c>
      <c r="N175" s="19">
        <v>0</v>
      </c>
      <c r="O175" s="19">
        <f t="shared" si="13"/>
        <v>6000000</v>
      </c>
      <c r="P175" s="17" t="s">
        <v>185</v>
      </c>
      <c r="R175" s="31"/>
    </row>
    <row r="176" spans="1:18" x14ac:dyDescent="0.3">
      <c r="A176" s="9" t="s">
        <v>402</v>
      </c>
      <c r="B176" s="10" t="s">
        <v>462</v>
      </c>
      <c r="C176" s="11" t="s">
        <v>463</v>
      </c>
      <c r="D176" s="12">
        <v>44022</v>
      </c>
      <c r="E176" s="12">
        <v>44025</v>
      </c>
      <c r="F176" s="13">
        <v>24990000</v>
      </c>
      <c r="G176" s="14">
        <v>0</v>
      </c>
      <c r="H176" s="9" t="s">
        <v>449</v>
      </c>
      <c r="I176" s="15">
        <v>800078360</v>
      </c>
      <c r="J176" s="16" t="s">
        <v>1861</v>
      </c>
      <c r="K176" s="17">
        <v>600</v>
      </c>
      <c r="L176" s="18" t="s">
        <v>21</v>
      </c>
      <c r="M176" s="19">
        <v>35000</v>
      </c>
      <c r="N176" s="19">
        <f>M176*0.19</f>
        <v>6650</v>
      </c>
      <c r="O176" s="19">
        <f t="shared" si="13"/>
        <v>24990000</v>
      </c>
      <c r="P176" s="17" t="s">
        <v>1948</v>
      </c>
      <c r="R176" s="31"/>
    </row>
    <row r="177" spans="1:21" x14ac:dyDescent="0.3">
      <c r="A177" s="9" t="s">
        <v>402</v>
      </c>
      <c r="B177" s="10" t="s">
        <v>464</v>
      </c>
      <c r="C177" s="11" t="s">
        <v>465</v>
      </c>
      <c r="D177" s="12">
        <v>44042</v>
      </c>
      <c r="E177" s="12">
        <v>44047</v>
      </c>
      <c r="F177" s="13">
        <v>92268536.230000004</v>
      </c>
      <c r="G177" s="14">
        <v>0</v>
      </c>
      <c r="H177" s="9" t="s">
        <v>466</v>
      </c>
      <c r="I177" s="15">
        <v>901171132</v>
      </c>
      <c r="J177" s="16" t="s">
        <v>467</v>
      </c>
      <c r="K177" s="17">
        <f>435034/2</f>
        <v>217517</v>
      </c>
      <c r="L177" s="18" t="s">
        <v>21</v>
      </c>
      <c r="M177" s="19">
        <v>424.19</v>
      </c>
      <c r="N177" s="19">
        <v>0</v>
      </c>
      <c r="O177" s="19">
        <f t="shared" si="13"/>
        <v>92268536.230000004</v>
      </c>
      <c r="P177" s="17" t="s">
        <v>31</v>
      </c>
      <c r="R177" s="31"/>
    </row>
    <row r="178" spans="1:21" x14ac:dyDescent="0.3">
      <c r="A178" s="9" t="s">
        <v>402</v>
      </c>
      <c r="B178" s="10" t="s">
        <v>464</v>
      </c>
      <c r="C178" s="11" t="s">
        <v>465</v>
      </c>
      <c r="D178" s="12">
        <v>44042</v>
      </c>
      <c r="E178" s="12">
        <v>44047</v>
      </c>
      <c r="F178" s="13">
        <v>0</v>
      </c>
      <c r="G178" s="30">
        <v>46134056.020000003</v>
      </c>
      <c r="H178" s="9" t="s">
        <v>466</v>
      </c>
      <c r="I178" s="15">
        <v>901171132</v>
      </c>
      <c r="J178" s="16" t="s">
        <v>468</v>
      </c>
      <c r="K178" s="17">
        <v>108758</v>
      </c>
      <c r="L178" s="18" t="s">
        <v>21</v>
      </c>
      <c r="M178" s="19">
        <v>424.19</v>
      </c>
      <c r="N178" s="19">
        <v>0</v>
      </c>
      <c r="O178" s="19">
        <f t="shared" si="13"/>
        <v>46134056.020000003</v>
      </c>
      <c r="P178" s="17" t="s">
        <v>31</v>
      </c>
      <c r="R178" s="31"/>
    </row>
    <row r="179" spans="1:21" x14ac:dyDescent="0.3">
      <c r="A179" s="9" t="s">
        <v>402</v>
      </c>
      <c r="B179" t="s">
        <v>469</v>
      </c>
      <c r="C179" t="s">
        <v>470</v>
      </c>
      <c r="D179" s="12">
        <v>44175</v>
      </c>
      <c r="E179" s="12">
        <v>44186</v>
      </c>
      <c r="F179" s="13">
        <v>44652978</v>
      </c>
      <c r="G179" s="14">
        <v>0</v>
      </c>
      <c r="H179" s="9" t="s">
        <v>459</v>
      </c>
      <c r="I179" s="15">
        <v>830501019</v>
      </c>
      <c r="J179" s="16" t="s">
        <v>437</v>
      </c>
      <c r="K179" s="17">
        <v>2625</v>
      </c>
      <c r="L179" s="18" t="s">
        <v>36</v>
      </c>
      <c r="M179" s="19">
        <v>5453.3333339999999</v>
      </c>
      <c r="N179" s="19">
        <v>0</v>
      </c>
      <c r="O179" s="19">
        <f t="shared" si="13"/>
        <v>14315000.00175</v>
      </c>
      <c r="P179" s="17" t="s">
        <v>161</v>
      </c>
      <c r="R179" s="31"/>
    </row>
    <row r="180" spans="1:21" x14ac:dyDescent="0.3">
      <c r="A180" s="9" t="s">
        <v>402</v>
      </c>
      <c r="B180" t="s">
        <v>469</v>
      </c>
      <c r="C180" t="s">
        <v>470</v>
      </c>
      <c r="D180" s="12">
        <v>44175</v>
      </c>
      <c r="E180" s="12">
        <v>44186</v>
      </c>
      <c r="F180" s="13">
        <v>44652978</v>
      </c>
      <c r="G180" s="14">
        <v>0</v>
      </c>
      <c r="H180" s="9" t="s">
        <v>459</v>
      </c>
      <c r="I180" s="15">
        <v>830501019</v>
      </c>
      <c r="J180" s="16" t="s">
        <v>429</v>
      </c>
      <c r="K180" s="46">
        <v>9500</v>
      </c>
      <c r="L180" s="18" t="s">
        <v>36</v>
      </c>
      <c r="M180" s="19">
        <v>2042.1052631499999</v>
      </c>
      <c r="N180" s="19">
        <v>0</v>
      </c>
      <c r="O180" s="19">
        <f t="shared" si="13"/>
        <v>19399999.999924999</v>
      </c>
      <c r="P180" s="17" t="s">
        <v>39</v>
      </c>
      <c r="R180" s="31"/>
    </row>
    <row r="181" spans="1:21" x14ac:dyDescent="0.3">
      <c r="A181" s="9" t="s">
        <v>402</v>
      </c>
      <c r="B181" t="s">
        <v>469</v>
      </c>
      <c r="C181" t="s">
        <v>470</v>
      </c>
      <c r="D181" s="12">
        <v>44175</v>
      </c>
      <c r="E181" s="12">
        <v>44186</v>
      </c>
      <c r="F181" s="13">
        <v>0</v>
      </c>
      <c r="G181" s="30">
        <v>1517022</v>
      </c>
      <c r="H181" s="9" t="s">
        <v>459</v>
      </c>
      <c r="I181" s="15">
        <v>830501019</v>
      </c>
      <c r="J181" s="16" t="s">
        <v>37</v>
      </c>
      <c r="K181" s="17">
        <v>351</v>
      </c>
      <c r="L181" s="18" t="s">
        <v>36</v>
      </c>
      <c r="M181" s="19">
        <v>4322</v>
      </c>
      <c r="N181" s="19">
        <v>0</v>
      </c>
      <c r="O181" s="19">
        <f t="shared" si="13"/>
        <v>1517022</v>
      </c>
      <c r="P181" s="17" t="s">
        <v>37</v>
      </c>
      <c r="R181" s="31"/>
    </row>
    <row r="182" spans="1:21" x14ac:dyDescent="0.3">
      <c r="A182" s="9" t="s">
        <v>402</v>
      </c>
      <c r="B182" t="s">
        <v>469</v>
      </c>
      <c r="C182" t="s">
        <v>470</v>
      </c>
      <c r="D182" s="12">
        <v>44175</v>
      </c>
      <c r="E182" s="12">
        <v>44186</v>
      </c>
      <c r="F182" s="13">
        <v>44652978</v>
      </c>
      <c r="G182" s="14">
        <v>0</v>
      </c>
      <c r="H182" s="9" t="s">
        <v>459</v>
      </c>
      <c r="I182" s="15">
        <v>830501019</v>
      </c>
      <c r="J182" s="16" t="s">
        <v>461</v>
      </c>
      <c r="K182" s="17">
        <v>30</v>
      </c>
      <c r="L182" s="18" t="s">
        <v>21</v>
      </c>
      <c r="M182" s="19">
        <v>55000</v>
      </c>
      <c r="N182" s="19">
        <v>0</v>
      </c>
      <c r="O182" s="19">
        <f t="shared" si="13"/>
        <v>1650000</v>
      </c>
      <c r="P182" s="17" t="s">
        <v>185</v>
      </c>
      <c r="R182" s="31"/>
    </row>
    <row r="183" spans="1:21" x14ac:dyDescent="0.3">
      <c r="A183" s="9" t="s">
        <v>402</v>
      </c>
      <c r="B183" s="10" t="s">
        <v>454</v>
      </c>
      <c r="C183" s="11" t="s">
        <v>455</v>
      </c>
      <c r="D183" s="12">
        <v>44006</v>
      </c>
      <c r="E183" s="12">
        <v>44197</v>
      </c>
      <c r="F183" s="13">
        <v>0</v>
      </c>
      <c r="G183" s="14">
        <v>151125000</v>
      </c>
      <c r="H183" s="9" t="s">
        <v>456</v>
      </c>
      <c r="I183" s="15">
        <v>900063271</v>
      </c>
      <c r="J183" s="16" t="s">
        <v>457</v>
      </c>
      <c r="K183" s="17">
        <v>23</v>
      </c>
      <c r="L183" s="18" t="s">
        <v>44</v>
      </c>
      <c r="M183" s="19">
        <v>2190217.39</v>
      </c>
      <c r="N183" s="19">
        <v>0</v>
      </c>
      <c r="O183" s="19">
        <f>K183*(M183+N183)*3</f>
        <v>151124999.91000003</v>
      </c>
      <c r="P183" s="17" t="s">
        <v>45</v>
      </c>
      <c r="Q183" s="19"/>
      <c r="R183" s="31"/>
      <c r="S183" s="31"/>
      <c r="T183" s="31"/>
      <c r="U183" s="31"/>
    </row>
    <row r="184" spans="1:21" x14ac:dyDescent="0.3">
      <c r="A184" s="9" t="s">
        <v>472</v>
      </c>
      <c r="B184" s="10" t="s">
        <v>473</v>
      </c>
      <c r="C184" s="11" t="s">
        <v>474</v>
      </c>
      <c r="D184" s="12">
        <v>43909</v>
      </c>
      <c r="E184" s="12">
        <v>43909</v>
      </c>
      <c r="F184" s="13">
        <v>14411127</v>
      </c>
      <c r="G184" s="14">
        <v>0</v>
      </c>
      <c r="H184" s="9" t="s">
        <v>19</v>
      </c>
      <c r="I184" s="15">
        <v>901095058</v>
      </c>
      <c r="J184" s="16" t="s">
        <v>475</v>
      </c>
      <c r="K184" s="17">
        <v>815</v>
      </c>
      <c r="L184" s="18" t="s">
        <v>21</v>
      </c>
      <c r="M184" s="19">
        <v>14859.129916997474</v>
      </c>
      <c r="N184" s="19">
        <f>M184*0.19</f>
        <v>2823.2346842295201</v>
      </c>
      <c r="O184" s="19">
        <f>K184*(M184+N184)</f>
        <v>14411127.149999999</v>
      </c>
      <c r="P184" s="17" t="s">
        <v>22</v>
      </c>
      <c r="R184" s="31"/>
    </row>
    <row r="185" spans="1:21" x14ac:dyDescent="0.3">
      <c r="A185" s="9" t="s">
        <v>472</v>
      </c>
      <c r="B185" s="10" t="s">
        <v>476</v>
      </c>
      <c r="C185" s="11" t="s">
        <v>477</v>
      </c>
      <c r="D185" s="12">
        <v>43915</v>
      </c>
      <c r="E185" s="12">
        <v>43915</v>
      </c>
      <c r="F185" s="13">
        <v>8399531</v>
      </c>
      <c r="G185" s="14">
        <v>0</v>
      </c>
      <c r="H185" s="9" t="s">
        <v>478</v>
      </c>
      <c r="I185" s="15">
        <v>1047451945</v>
      </c>
      <c r="J185" s="16" t="s">
        <v>35</v>
      </c>
      <c r="K185" s="17">
        <v>333.5</v>
      </c>
      <c r="L185" s="18" t="s">
        <v>36</v>
      </c>
      <c r="M185" s="19">
        <v>25186</v>
      </c>
      <c r="N185" s="19">
        <v>0</v>
      </c>
      <c r="O185" s="19">
        <f t="shared" si="13"/>
        <v>8399531</v>
      </c>
      <c r="P185" s="17" t="s">
        <v>37</v>
      </c>
      <c r="R185" s="31"/>
    </row>
    <row r="186" spans="1:21" x14ac:dyDescent="0.3">
      <c r="A186" s="9" t="s">
        <v>472</v>
      </c>
      <c r="B186" s="10" t="s">
        <v>479</v>
      </c>
      <c r="C186" s="11" t="s">
        <v>480</v>
      </c>
      <c r="D186" s="12">
        <v>43964</v>
      </c>
      <c r="E186" s="12">
        <v>43965</v>
      </c>
      <c r="F186" s="13">
        <v>34734750</v>
      </c>
      <c r="G186" s="14">
        <v>0</v>
      </c>
      <c r="H186" s="9" t="s">
        <v>481</v>
      </c>
      <c r="I186" s="15">
        <v>1062185</v>
      </c>
      <c r="J186" s="16" t="s">
        <v>482</v>
      </c>
      <c r="K186" s="17">
        <v>10000</v>
      </c>
      <c r="L186" s="18" t="s">
        <v>21</v>
      </c>
      <c r="M186" s="19">
        <v>1250</v>
      </c>
      <c r="N186" s="19">
        <v>0</v>
      </c>
      <c r="O186" s="19">
        <f t="shared" si="13"/>
        <v>12500000</v>
      </c>
      <c r="P186" s="17" t="s">
        <v>31</v>
      </c>
      <c r="R186" s="31"/>
    </row>
    <row r="187" spans="1:21" x14ac:dyDescent="0.3">
      <c r="A187" s="9" t="s">
        <v>472</v>
      </c>
      <c r="B187" s="10" t="s">
        <v>479</v>
      </c>
      <c r="C187" s="11" t="s">
        <v>480</v>
      </c>
      <c r="D187" s="12">
        <v>43964</v>
      </c>
      <c r="E187" s="12">
        <v>43965</v>
      </c>
      <c r="F187" s="13">
        <v>34734750</v>
      </c>
      <c r="G187" s="14">
        <v>0</v>
      </c>
      <c r="H187" s="9" t="s">
        <v>481</v>
      </c>
      <c r="I187" s="15">
        <v>1062185</v>
      </c>
      <c r="J187" s="16" t="s">
        <v>483</v>
      </c>
      <c r="K187" s="17">
        <v>7550</v>
      </c>
      <c r="L187" s="18" t="s">
        <v>21</v>
      </c>
      <c r="M187" s="19">
        <v>2945</v>
      </c>
      <c r="N187" s="19">
        <v>0</v>
      </c>
      <c r="O187" s="19">
        <f t="shared" si="13"/>
        <v>22234750</v>
      </c>
      <c r="P187" s="17" t="s">
        <v>31</v>
      </c>
      <c r="R187" s="31"/>
    </row>
    <row r="188" spans="1:21" x14ac:dyDescent="0.3">
      <c r="A188" s="9" t="s">
        <v>472</v>
      </c>
      <c r="B188" s="10" t="s">
        <v>484</v>
      </c>
      <c r="C188" s="11" t="s">
        <v>485</v>
      </c>
      <c r="D188" s="12">
        <v>43966</v>
      </c>
      <c r="E188" s="12">
        <v>43969</v>
      </c>
      <c r="F188" s="13">
        <v>27782000</v>
      </c>
      <c r="G188" s="14">
        <v>0</v>
      </c>
      <c r="H188" s="9" t="s">
        <v>486</v>
      </c>
      <c r="I188" s="15">
        <v>900881350</v>
      </c>
      <c r="J188" s="16" t="s">
        <v>487</v>
      </c>
      <c r="K188" s="17">
        <v>11</v>
      </c>
      <c r="L188" s="18" t="s">
        <v>21</v>
      </c>
      <c r="M188" s="19">
        <v>430000</v>
      </c>
      <c r="N188" s="19">
        <v>0</v>
      </c>
      <c r="O188" s="19">
        <f t="shared" si="13"/>
        <v>4730000</v>
      </c>
      <c r="P188" s="17" t="s">
        <v>185</v>
      </c>
      <c r="R188" s="31"/>
    </row>
    <row r="189" spans="1:21" x14ac:dyDescent="0.3">
      <c r="A189" s="9" t="s">
        <v>472</v>
      </c>
      <c r="B189" s="10" t="s">
        <v>484</v>
      </c>
      <c r="C189" s="11" t="s">
        <v>485</v>
      </c>
      <c r="D189" s="12">
        <v>43966</v>
      </c>
      <c r="E189" s="12">
        <v>43969</v>
      </c>
      <c r="F189" s="13">
        <v>27782000</v>
      </c>
      <c r="G189" s="14">
        <v>0</v>
      </c>
      <c r="H189" s="9" t="s">
        <v>486</v>
      </c>
      <c r="I189" s="15">
        <v>900881350</v>
      </c>
      <c r="J189" s="16" t="s">
        <v>488</v>
      </c>
      <c r="K189" s="17">
        <v>760</v>
      </c>
      <c r="L189" s="18" t="s">
        <v>53</v>
      </c>
      <c r="M189" s="19">
        <v>21450</v>
      </c>
      <c r="N189" s="19">
        <v>0</v>
      </c>
      <c r="O189" s="19">
        <f t="shared" si="13"/>
        <v>16302000</v>
      </c>
      <c r="P189" s="21" t="s">
        <v>656</v>
      </c>
      <c r="R189" s="31"/>
    </row>
    <row r="190" spans="1:21" x14ac:dyDescent="0.3">
      <c r="A190" s="9" t="s">
        <v>472</v>
      </c>
      <c r="B190" s="10" t="s">
        <v>484</v>
      </c>
      <c r="C190" s="11" t="s">
        <v>485</v>
      </c>
      <c r="D190" s="12">
        <v>43966</v>
      </c>
      <c r="E190" s="12">
        <v>43969</v>
      </c>
      <c r="F190" s="13">
        <v>27782000</v>
      </c>
      <c r="G190" s="14">
        <v>0</v>
      </c>
      <c r="H190" s="9" t="s">
        <v>486</v>
      </c>
      <c r="I190" s="15">
        <v>900881350</v>
      </c>
      <c r="J190" s="16" t="s">
        <v>489</v>
      </c>
      <c r="K190" s="17">
        <v>1215.1199999999999</v>
      </c>
      <c r="L190" s="18" t="s">
        <v>36</v>
      </c>
      <c r="M190" s="19">
        <v>5555</v>
      </c>
      <c r="N190" s="19">
        <v>0</v>
      </c>
      <c r="O190" s="19">
        <f t="shared" si="13"/>
        <v>6749991.5999999996</v>
      </c>
      <c r="P190" s="17" t="s">
        <v>161</v>
      </c>
      <c r="R190" s="31"/>
    </row>
    <row r="191" spans="1:21" x14ac:dyDescent="0.3">
      <c r="A191" s="9" t="s">
        <v>472</v>
      </c>
      <c r="B191" s="10" t="s">
        <v>490</v>
      </c>
      <c r="C191" s="11" t="s">
        <v>491</v>
      </c>
      <c r="D191" s="12">
        <v>43971</v>
      </c>
      <c r="E191" s="12">
        <v>43972</v>
      </c>
      <c r="F191" s="13">
        <v>14952000</v>
      </c>
      <c r="G191" s="14">
        <v>0</v>
      </c>
      <c r="H191" s="9" t="s">
        <v>486</v>
      </c>
      <c r="I191" s="15">
        <v>900881350</v>
      </c>
      <c r="J191" s="16" t="s">
        <v>492</v>
      </c>
      <c r="K191" s="17">
        <v>336</v>
      </c>
      <c r="L191" s="18" t="s">
        <v>70</v>
      </c>
      <c r="M191" s="19">
        <v>44500</v>
      </c>
      <c r="N191" s="19">
        <v>0</v>
      </c>
      <c r="O191" s="19">
        <f t="shared" si="13"/>
        <v>14952000</v>
      </c>
      <c r="P191" s="17" t="s">
        <v>69</v>
      </c>
      <c r="R191" s="31"/>
    </row>
    <row r="192" spans="1:21" x14ac:dyDescent="0.3">
      <c r="A192" s="9" t="s">
        <v>472</v>
      </c>
      <c r="B192" s="10" t="s">
        <v>493</v>
      </c>
      <c r="C192" s="11" t="s">
        <v>494</v>
      </c>
      <c r="D192" s="12" t="s">
        <v>495</v>
      </c>
      <c r="E192" s="12" t="s">
        <v>495</v>
      </c>
      <c r="F192" s="13">
        <v>1560000</v>
      </c>
      <c r="G192" s="14">
        <v>0</v>
      </c>
      <c r="H192" s="9" t="s">
        <v>110</v>
      </c>
      <c r="I192" s="15">
        <v>900353659</v>
      </c>
      <c r="J192" s="16" t="s">
        <v>496</v>
      </c>
      <c r="K192" s="17">
        <v>63</v>
      </c>
      <c r="L192" s="18" t="s">
        <v>70</v>
      </c>
      <c r="M192" s="19">
        <v>20000</v>
      </c>
      <c r="N192" s="19">
        <v>0</v>
      </c>
      <c r="O192" s="19">
        <f t="shared" si="13"/>
        <v>1260000</v>
      </c>
      <c r="P192" s="17" t="s">
        <v>145</v>
      </c>
      <c r="R192" s="31"/>
    </row>
    <row r="193" spans="1:18" x14ac:dyDescent="0.3">
      <c r="A193" s="9" t="s">
        <v>472</v>
      </c>
      <c r="B193" s="10" t="s">
        <v>497</v>
      </c>
      <c r="C193" s="11" t="s">
        <v>494</v>
      </c>
      <c r="D193" s="12" t="s">
        <v>495</v>
      </c>
      <c r="E193" s="12" t="s">
        <v>495</v>
      </c>
      <c r="F193" s="13">
        <v>17400156</v>
      </c>
      <c r="G193" s="14">
        <v>0</v>
      </c>
      <c r="H193" s="9" t="s">
        <v>359</v>
      </c>
      <c r="I193" s="15">
        <v>900704052</v>
      </c>
      <c r="J193" s="16" t="s">
        <v>498</v>
      </c>
      <c r="K193" s="17">
        <v>1434</v>
      </c>
      <c r="L193" s="18" t="s">
        <v>36</v>
      </c>
      <c r="M193" s="19">
        <v>11634</v>
      </c>
      <c r="N193" s="19">
        <v>0</v>
      </c>
      <c r="O193" s="19">
        <f t="shared" ref="O193:O257" si="19">K193*(M193+N193)</f>
        <v>16683156</v>
      </c>
      <c r="P193" s="17" t="s">
        <v>37</v>
      </c>
      <c r="R193" s="31"/>
    </row>
    <row r="194" spans="1:18" x14ac:dyDescent="0.3">
      <c r="A194" s="9" t="s">
        <v>472</v>
      </c>
      <c r="B194" s="10" t="s">
        <v>499</v>
      </c>
      <c r="C194" s="11" t="s">
        <v>500</v>
      </c>
      <c r="D194" s="12">
        <v>43956</v>
      </c>
      <c r="E194" s="12">
        <v>43956</v>
      </c>
      <c r="F194" s="13">
        <v>52694400</v>
      </c>
      <c r="G194" s="14">
        <v>0</v>
      </c>
      <c r="H194" s="9" t="s">
        <v>501</v>
      </c>
      <c r="I194" s="15">
        <v>900935453</v>
      </c>
      <c r="J194" s="16" t="s">
        <v>49</v>
      </c>
      <c r="K194" s="17">
        <v>10000</v>
      </c>
      <c r="L194" s="18" t="s">
        <v>21</v>
      </c>
      <c r="M194" s="19">
        <v>1300</v>
      </c>
      <c r="N194" s="19">
        <v>0</v>
      </c>
      <c r="O194" s="19">
        <f t="shared" si="19"/>
        <v>13000000</v>
      </c>
      <c r="P194" s="17" t="s">
        <v>31</v>
      </c>
      <c r="R194" s="31"/>
    </row>
    <row r="195" spans="1:18" x14ac:dyDescent="0.3">
      <c r="A195" s="9" t="s">
        <v>472</v>
      </c>
      <c r="B195" s="10" t="s">
        <v>499</v>
      </c>
      <c r="C195" s="11" t="s">
        <v>500</v>
      </c>
      <c r="D195" s="12">
        <v>43956</v>
      </c>
      <c r="E195" s="12">
        <v>43956</v>
      </c>
      <c r="F195" s="13">
        <v>52694400</v>
      </c>
      <c r="G195" s="14">
        <v>0</v>
      </c>
      <c r="H195" s="9" t="s">
        <v>501</v>
      </c>
      <c r="I195" s="15">
        <v>900935453</v>
      </c>
      <c r="J195" s="16" t="s">
        <v>502</v>
      </c>
      <c r="K195" s="17">
        <v>13000</v>
      </c>
      <c r="L195" s="18" t="s">
        <v>21</v>
      </c>
      <c r="M195" s="19">
        <v>2950</v>
      </c>
      <c r="N195" s="19">
        <v>0</v>
      </c>
      <c r="O195" s="19">
        <f t="shared" si="19"/>
        <v>38350000</v>
      </c>
      <c r="P195" s="17" t="s">
        <v>31</v>
      </c>
      <c r="R195" s="31"/>
    </row>
    <row r="196" spans="1:18" x14ac:dyDescent="0.3">
      <c r="A196" s="9" t="s">
        <v>472</v>
      </c>
      <c r="B196" s="10" t="s">
        <v>503</v>
      </c>
      <c r="C196" s="11" t="s">
        <v>504</v>
      </c>
      <c r="D196" s="12">
        <v>43956</v>
      </c>
      <c r="E196" s="12">
        <v>43956</v>
      </c>
      <c r="F196" s="13">
        <v>9600000</v>
      </c>
      <c r="G196" s="14">
        <v>0</v>
      </c>
      <c r="H196" s="9" t="s">
        <v>110</v>
      </c>
      <c r="I196" s="15">
        <v>900353659</v>
      </c>
      <c r="J196" s="16" t="s">
        <v>505</v>
      </c>
      <c r="K196" s="17">
        <v>200</v>
      </c>
      <c r="L196" s="18" t="s">
        <v>70</v>
      </c>
      <c r="M196" s="19">
        <v>45000</v>
      </c>
      <c r="N196" s="19">
        <v>0</v>
      </c>
      <c r="O196" s="19">
        <f t="shared" si="19"/>
        <v>9000000</v>
      </c>
      <c r="P196" s="17" t="s">
        <v>69</v>
      </c>
      <c r="R196" s="31"/>
    </row>
    <row r="197" spans="1:18" x14ac:dyDescent="0.3">
      <c r="A197" s="9" t="s">
        <v>472</v>
      </c>
      <c r="B197" s="10" t="s">
        <v>506</v>
      </c>
      <c r="C197" s="11" t="s">
        <v>507</v>
      </c>
      <c r="D197" s="12">
        <v>43956</v>
      </c>
      <c r="E197" s="12">
        <v>43956</v>
      </c>
      <c r="F197" s="13">
        <v>3532000</v>
      </c>
      <c r="G197" s="14">
        <v>0</v>
      </c>
      <c r="H197" s="9" t="s">
        <v>508</v>
      </c>
      <c r="I197" s="15">
        <v>900791672</v>
      </c>
      <c r="J197" s="16" t="s">
        <v>509</v>
      </c>
      <c r="K197" s="46">
        <v>484.5</v>
      </c>
      <c r="L197" s="18" t="s">
        <v>36</v>
      </c>
      <c r="M197" s="19">
        <v>5680</v>
      </c>
      <c r="N197" s="19">
        <v>0</v>
      </c>
      <c r="O197" s="19">
        <f t="shared" si="19"/>
        <v>2751960</v>
      </c>
      <c r="P197" s="17" t="s">
        <v>39</v>
      </c>
      <c r="R197" s="31"/>
    </row>
    <row r="198" spans="1:18" x14ac:dyDescent="0.3">
      <c r="A198" s="9" t="s">
        <v>472</v>
      </c>
      <c r="B198" s="10" t="s">
        <v>510</v>
      </c>
      <c r="C198" s="11" t="s">
        <v>511</v>
      </c>
      <c r="D198" s="12">
        <v>43969</v>
      </c>
      <c r="E198" s="12">
        <v>43969</v>
      </c>
      <c r="F198" s="13">
        <v>2192694</v>
      </c>
      <c r="G198" s="14">
        <v>0</v>
      </c>
      <c r="H198" s="9" t="s">
        <v>512</v>
      </c>
      <c r="I198" s="15">
        <v>830037946</v>
      </c>
      <c r="J198" s="16" t="s">
        <v>513</v>
      </c>
      <c r="K198" s="17">
        <v>268</v>
      </c>
      <c r="L198" s="18" t="s">
        <v>21</v>
      </c>
      <c r="M198" s="19">
        <v>1500</v>
      </c>
      <c r="N198" s="19">
        <f t="shared" ref="N198:N200" si="20">M198*0.19</f>
        <v>285</v>
      </c>
      <c r="O198" s="19">
        <f t="shared" si="19"/>
        <v>478380</v>
      </c>
      <c r="P198" s="17" t="s">
        <v>187</v>
      </c>
      <c r="R198" s="31"/>
    </row>
    <row r="199" spans="1:18" x14ac:dyDescent="0.3">
      <c r="A199" s="9" t="s">
        <v>472</v>
      </c>
      <c r="B199" s="10" t="s">
        <v>510</v>
      </c>
      <c r="C199" s="11" t="s">
        <v>511</v>
      </c>
      <c r="D199" s="12">
        <v>43969</v>
      </c>
      <c r="E199" s="12">
        <v>43969</v>
      </c>
      <c r="F199" s="13">
        <v>2192694</v>
      </c>
      <c r="G199" s="14">
        <v>0</v>
      </c>
      <c r="H199" s="9" t="s">
        <v>512</v>
      </c>
      <c r="I199" s="15">
        <v>830037946</v>
      </c>
      <c r="J199" s="16" t="s">
        <v>514</v>
      </c>
      <c r="K199" s="17">
        <v>37</v>
      </c>
      <c r="L199" s="18" t="s">
        <v>515</v>
      </c>
      <c r="M199" s="19">
        <v>16800</v>
      </c>
      <c r="N199" s="19">
        <f t="shared" si="20"/>
        <v>3192</v>
      </c>
      <c r="O199" s="19">
        <f t="shared" si="19"/>
        <v>739704</v>
      </c>
      <c r="P199" s="17" t="s">
        <v>516</v>
      </c>
      <c r="R199" s="31"/>
    </row>
    <row r="200" spans="1:18" x14ac:dyDescent="0.3">
      <c r="A200" s="9" t="s">
        <v>472</v>
      </c>
      <c r="B200" s="10" t="s">
        <v>510</v>
      </c>
      <c r="C200" s="11" t="s">
        <v>511</v>
      </c>
      <c r="D200" s="12">
        <v>43969</v>
      </c>
      <c r="E200" s="12">
        <v>43969</v>
      </c>
      <c r="F200" s="13">
        <v>2192694</v>
      </c>
      <c r="G200" s="14">
        <v>0</v>
      </c>
      <c r="H200" s="9" t="s">
        <v>512</v>
      </c>
      <c r="I200" s="15">
        <v>830037946</v>
      </c>
      <c r="J200" s="16" t="s">
        <v>517</v>
      </c>
      <c r="K200" s="17">
        <v>63</v>
      </c>
      <c r="L200" s="18" t="s">
        <v>515</v>
      </c>
      <c r="M200" s="19">
        <v>13000</v>
      </c>
      <c r="N200" s="19">
        <f t="shared" si="20"/>
        <v>2470</v>
      </c>
      <c r="O200" s="19">
        <f t="shared" si="19"/>
        <v>974610</v>
      </c>
      <c r="P200" s="17" t="s">
        <v>516</v>
      </c>
      <c r="R200" s="31"/>
    </row>
    <row r="201" spans="1:18" x14ac:dyDescent="0.3">
      <c r="A201" s="9" t="s">
        <v>472</v>
      </c>
      <c r="B201" s="10" t="s">
        <v>518</v>
      </c>
      <c r="C201" s="11" t="s">
        <v>519</v>
      </c>
      <c r="D201" s="12">
        <v>43983</v>
      </c>
      <c r="E201" s="12">
        <v>43983</v>
      </c>
      <c r="F201" s="13">
        <v>2672925</v>
      </c>
      <c r="G201" s="14">
        <v>0</v>
      </c>
      <c r="H201" s="9" t="s">
        <v>520</v>
      </c>
      <c r="I201" s="15">
        <v>890900943</v>
      </c>
      <c r="J201" s="16" t="s">
        <v>521</v>
      </c>
      <c r="K201" s="17">
        <v>471</v>
      </c>
      <c r="L201" s="18" t="s">
        <v>21</v>
      </c>
      <c r="M201" s="19">
        <v>5675</v>
      </c>
      <c r="N201" s="19">
        <v>0</v>
      </c>
      <c r="O201" s="19">
        <f t="shared" si="19"/>
        <v>2672925</v>
      </c>
      <c r="P201" s="17" t="s">
        <v>75</v>
      </c>
      <c r="R201" s="31"/>
    </row>
    <row r="202" spans="1:18" x14ac:dyDescent="0.3">
      <c r="A202" s="9" t="s">
        <v>472</v>
      </c>
      <c r="B202" s="10" t="s">
        <v>522</v>
      </c>
      <c r="C202" s="11" t="s">
        <v>523</v>
      </c>
      <c r="D202" s="12">
        <v>43984</v>
      </c>
      <c r="E202" s="12">
        <v>43984</v>
      </c>
      <c r="F202" s="13">
        <v>2600000</v>
      </c>
      <c r="G202" s="14">
        <v>0</v>
      </c>
      <c r="H202" s="9" t="s">
        <v>172</v>
      </c>
      <c r="I202" s="15">
        <v>900155107</v>
      </c>
      <c r="J202" s="16" t="s">
        <v>524</v>
      </c>
      <c r="K202" s="17">
        <v>20</v>
      </c>
      <c r="L202" s="18" t="s">
        <v>21</v>
      </c>
      <c r="M202" s="19">
        <v>109244</v>
      </c>
      <c r="N202" s="19">
        <f>M202*0.19</f>
        <v>20756.36</v>
      </c>
      <c r="O202" s="19">
        <f t="shared" si="19"/>
        <v>2600007.2000000002</v>
      </c>
      <c r="P202" s="17" t="s">
        <v>82</v>
      </c>
      <c r="R202" s="31"/>
    </row>
    <row r="203" spans="1:18" x14ac:dyDescent="0.3">
      <c r="A203" s="9" t="s">
        <v>472</v>
      </c>
      <c r="B203" s="10" t="s">
        <v>525</v>
      </c>
      <c r="C203" s="11" t="s">
        <v>526</v>
      </c>
      <c r="D203" s="12">
        <v>43986</v>
      </c>
      <c r="E203" s="12">
        <v>43986</v>
      </c>
      <c r="F203" s="13">
        <v>11123450</v>
      </c>
      <c r="G203" s="14">
        <v>0</v>
      </c>
      <c r="H203" s="9" t="s">
        <v>527</v>
      </c>
      <c r="I203" s="15">
        <v>900342297</v>
      </c>
      <c r="J203" s="16" t="s">
        <v>528</v>
      </c>
      <c r="K203" s="17">
        <v>7000</v>
      </c>
      <c r="L203" s="18" t="s">
        <v>21</v>
      </c>
      <c r="M203" s="19">
        <v>1580</v>
      </c>
      <c r="N203" s="19">
        <v>0</v>
      </c>
      <c r="O203" s="19">
        <f t="shared" si="19"/>
        <v>11060000</v>
      </c>
      <c r="P203" s="17" t="s">
        <v>31</v>
      </c>
      <c r="R203" s="31"/>
    </row>
    <row r="204" spans="1:18" x14ac:dyDescent="0.3">
      <c r="A204" s="9" t="s">
        <v>472</v>
      </c>
      <c r="B204" s="10" t="s">
        <v>529</v>
      </c>
      <c r="C204" s="11" t="s">
        <v>530</v>
      </c>
      <c r="D204" s="12">
        <v>44005</v>
      </c>
      <c r="E204" s="12">
        <v>44005</v>
      </c>
      <c r="F204" s="13">
        <v>3778000</v>
      </c>
      <c r="G204" s="14">
        <v>0</v>
      </c>
      <c r="H204" s="9" t="s">
        <v>531</v>
      </c>
      <c r="I204" s="15">
        <v>890307682</v>
      </c>
      <c r="J204" s="16" t="s">
        <v>532</v>
      </c>
      <c r="K204" s="17">
        <v>529</v>
      </c>
      <c r="L204" s="18" t="s">
        <v>21</v>
      </c>
      <c r="M204" s="19">
        <v>7000</v>
      </c>
      <c r="N204" s="19">
        <v>0</v>
      </c>
      <c r="O204" s="19">
        <f t="shared" si="19"/>
        <v>3703000</v>
      </c>
      <c r="P204" s="17" t="s">
        <v>75</v>
      </c>
      <c r="R204" s="31"/>
    </row>
    <row r="205" spans="1:18" x14ac:dyDescent="0.3">
      <c r="A205" s="9" t="s">
        <v>472</v>
      </c>
      <c r="B205" s="10" t="s">
        <v>533</v>
      </c>
      <c r="C205" s="11" t="s">
        <v>534</v>
      </c>
      <c r="D205" s="12">
        <v>44008</v>
      </c>
      <c r="E205" s="12">
        <v>44008</v>
      </c>
      <c r="F205" s="13">
        <v>2457000</v>
      </c>
      <c r="G205" s="14">
        <v>0</v>
      </c>
      <c r="H205" s="9" t="s">
        <v>535</v>
      </c>
      <c r="I205" s="15">
        <v>811008383</v>
      </c>
      <c r="J205" s="16" t="s">
        <v>37</v>
      </c>
      <c r="K205" s="17">
        <v>379.98</v>
      </c>
      <c r="L205" s="18" t="s">
        <v>36</v>
      </c>
      <c r="M205" s="19">
        <v>6466</v>
      </c>
      <c r="N205" s="19">
        <v>0</v>
      </c>
      <c r="O205" s="19">
        <f t="shared" si="19"/>
        <v>2456950.6800000002</v>
      </c>
      <c r="P205" s="17" t="s">
        <v>37</v>
      </c>
      <c r="R205" s="31"/>
    </row>
    <row r="206" spans="1:18" x14ac:dyDescent="0.3">
      <c r="A206" s="9" t="s">
        <v>472</v>
      </c>
      <c r="B206" s="10" t="s">
        <v>536</v>
      </c>
      <c r="C206" s="11" t="s">
        <v>537</v>
      </c>
      <c r="D206" s="12">
        <v>44008</v>
      </c>
      <c r="E206" s="12">
        <v>44008</v>
      </c>
      <c r="F206" s="13">
        <v>1264500</v>
      </c>
      <c r="G206" s="14">
        <v>0</v>
      </c>
      <c r="H206" s="9" t="s">
        <v>96</v>
      </c>
      <c r="I206" s="15">
        <v>830037946</v>
      </c>
      <c r="J206" s="16" t="s">
        <v>538</v>
      </c>
      <c r="K206" s="17">
        <v>45</v>
      </c>
      <c r="L206" s="18" t="s">
        <v>21</v>
      </c>
      <c r="M206" s="19">
        <v>28100</v>
      </c>
      <c r="N206" s="19">
        <v>0</v>
      </c>
      <c r="O206" s="19">
        <f t="shared" si="19"/>
        <v>1264500</v>
      </c>
      <c r="P206" s="17" t="s">
        <v>98</v>
      </c>
      <c r="R206" s="31"/>
    </row>
    <row r="207" spans="1:18" x14ac:dyDescent="0.3">
      <c r="A207" s="9" t="s">
        <v>472</v>
      </c>
      <c r="B207" s="10" t="s">
        <v>539</v>
      </c>
      <c r="C207" s="11" t="s">
        <v>540</v>
      </c>
      <c r="D207" s="12">
        <v>44013</v>
      </c>
      <c r="E207" s="12">
        <v>44013</v>
      </c>
      <c r="F207" s="13">
        <v>14984700</v>
      </c>
      <c r="G207" s="14">
        <v>0</v>
      </c>
      <c r="H207" s="9" t="s">
        <v>332</v>
      </c>
      <c r="I207" s="15">
        <v>830037946</v>
      </c>
      <c r="J207" s="16" t="s">
        <v>541</v>
      </c>
      <c r="K207" s="17">
        <v>172</v>
      </c>
      <c r="L207" s="18" t="s">
        <v>21</v>
      </c>
      <c r="M207" s="19">
        <v>57400</v>
      </c>
      <c r="N207" s="19">
        <v>0</v>
      </c>
      <c r="O207" s="19">
        <f t="shared" si="19"/>
        <v>9872800</v>
      </c>
      <c r="P207" s="17" t="s">
        <v>98</v>
      </c>
      <c r="R207" s="31"/>
    </row>
    <row r="208" spans="1:18" x14ac:dyDescent="0.3">
      <c r="A208" s="9" t="s">
        <v>472</v>
      </c>
      <c r="B208" s="10" t="s">
        <v>539</v>
      </c>
      <c r="C208" s="11" t="s">
        <v>540</v>
      </c>
      <c r="D208" s="12">
        <v>44013</v>
      </c>
      <c r="E208" s="12">
        <v>44013</v>
      </c>
      <c r="F208" s="13">
        <v>14984700</v>
      </c>
      <c r="G208" s="14">
        <v>0</v>
      </c>
      <c r="H208" s="9" t="s">
        <v>332</v>
      </c>
      <c r="I208" s="15">
        <v>830037946</v>
      </c>
      <c r="J208" s="16" t="s">
        <v>542</v>
      </c>
      <c r="K208" s="17">
        <v>97</v>
      </c>
      <c r="L208" s="18" t="s">
        <v>21</v>
      </c>
      <c r="M208" s="19">
        <v>52700</v>
      </c>
      <c r="N208" s="19">
        <v>0</v>
      </c>
      <c r="O208" s="19">
        <f t="shared" si="19"/>
        <v>5111900</v>
      </c>
      <c r="P208" s="17" t="s">
        <v>98</v>
      </c>
      <c r="R208" s="31"/>
    </row>
    <row r="209" spans="1:18" x14ac:dyDescent="0.3">
      <c r="A209" s="9" t="s">
        <v>472</v>
      </c>
      <c r="B209" s="10" t="s">
        <v>543</v>
      </c>
      <c r="C209" s="11" t="s">
        <v>1785</v>
      </c>
      <c r="D209" s="12">
        <v>44083</v>
      </c>
      <c r="E209" s="12">
        <v>44083</v>
      </c>
      <c r="F209" s="13">
        <v>6100000</v>
      </c>
      <c r="G209" s="14">
        <v>0</v>
      </c>
      <c r="H209" s="9" t="s">
        <v>158</v>
      </c>
      <c r="I209" s="15">
        <v>8300013381</v>
      </c>
      <c r="J209" s="16" t="s">
        <v>35</v>
      </c>
      <c r="K209" s="17">
        <f>400*3.75</f>
        <v>1500</v>
      </c>
      <c r="L209" s="18" t="s">
        <v>36</v>
      </c>
      <c r="M209" s="19">
        <f>15250/3.75</f>
        <v>4066.6666666666665</v>
      </c>
      <c r="N209" s="19">
        <v>0</v>
      </c>
      <c r="O209" s="19">
        <f t="shared" si="19"/>
        <v>6100000</v>
      </c>
      <c r="P209" s="17" t="s">
        <v>37</v>
      </c>
      <c r="R209" s="31"/>
    </row>
    <row r="210" spans="1:18" x14ac:dyDescent="0.3">
      <c r="A210" s="9" t="s">
        <v>472</v>
      </c>
      <c r="B210" s="10" t="s">
        <v>546</v>
      </c>
      <c r="C210" s="11" t="s">
        <v>1786</v>
      </c>
      <c r="D210" s="12">
        <v>44089</v>
      </c>
      <c r="E210" s="12">
        <v>44089</v>
      </c>
      <c r="F210" s="13">
        <v>385000</v>
      </c>
      <c r="G210" s="14">
        <v>0</v>
      </c>
      <c r="H210" s="9" t="s">
        <v>531</v>
      </c>
      <c r="I210" s="15" t="s">
        <v>547</v>
      </c>
      <c r="J210" s="16" t="s">
        <v>548</v>
      </c>
      <c r="K210" s="17">
        <v>150</v>
      </c>
      <c r="L210" s="18" t="s">
        <v>21</v>
      </c>
      <c r="M210" s="19">
        <v>2566.6666666666665</v>
      </c>
      <c r="N210" s="19">
        <v>0</v>
      </c>
      <c r="O210" s="19">
        <f t="shared" si="19"/>
        <v>385000</v>
      </c>
      <c r="P210" s="17" t="s">
        <v>75</v>
      </c>
      <c r="R210" s="31"/>
    </row>
    <row r="211" spans="1:18" x14ac:dyDescent="0.3">
      <c r="A211" s="9" t="s">
        <v>472</v>
      </c>
      <c r="B211" s="10" t="s">
        <v>550</v>
      </c>
      <c r="C211" s="11" t="s">
        <v>1787</v>
      </c>
      <c r="D211" s="12">
        <v>44089</v>
      </c>
      <c r="E211" s="12">
        <v>44089</v>
      </c>
      <c r="F211" s="13">
        <v>5404600</v>
      </c>
      <c r="G211" s="14">
        <v>0</v>
      </c>
      <c r="H211" s="9" t="s">
        <v>551</v>
      </c>
      <c r="I211" s="15" t="s">
        <v>552</v>
      </c>
      <c r="J211" s="16" t="s">
        <v>553</v>
      </c>
      <c r="K211" s="17">
        <v>5400</v>
      </c>
      <c r="L211" s="18" t="s">
        <v>21</v>
      </c>
      <c r="M211" s="19">
        <v>949</v>
      </c>
      <c r="N211" s="19">
        <v>0</v>
      </c>
      <c r="O211" s="19">
        <f t="shared" si="19"/>
        <v>5124600</v>
      </c>
      <c r="P211" s="17" t="s">
        <v>31</v>
      </c>
      <c r="R211" s="31"/>
    </row>
    <row r="212" spans="1:18" x14ac:dyDescent="0.3">
      <c r="A212" s="9" t="s">
        <v>472</v>
      </c>
      <c r="B212" s="10" t="s">
        <v>554</v>
      </c>
      <c r="C212" s="11" t="s">
        <v>1788</v>
      </c>
      <c r="D212" s="12">
        <v>44193</v>
      </c>
      <c r="E212" s="12">
        <v>44195</v>
      </c>
      <c r="F212" s="13">
        <v>950000</v>
      </c>
      <c r="G212" s="14">
        <v>0</v>
      </c>
      <c r="H212" s="9" t="s">
        <v>555</v>
      </c>
      <c r="I212" s="15" t="s">
        <v>556</v>
      </c>
      <c r="J212" s="16" t="s">
        <v>557</v>
      </c>
      <c r="K212" s="17">
        <v>1</v>
      </c>
      <c r="L212" s="18" t="s">
        <v>549</v>
      </c>
      <c r="M212" s="19">
        <v>798319.32773109246</v>
      </c>
      <c r="N212" s="19">
        <f>M212*0.19</f>
        <v>151680.67226890757</v>
      </c>
      <c r="O212" s="19">
        <f t="shared" si="19"/>
        <v>950000</v>
      </c>
      <c r="P212" s="17" t="s">
        <v>557</v>
      </c>
      <c r="R212" s="31"/>
    </row>
    <row r="213" spans="1:18" x14ac:dyDescent="0.3">
      <c r="A213" s="9" t="s">
        <v>472</v>
      </c>
      <c r="B213" s="10" t="s">
        <v>1958</v>
      </c>
      <c r="C213" s="11" t="s">
        <v>1979</v>
      </c>
      <c r="D213" s="12">
        <v>44127</v>
      </c>
      <c r="E213" s="12">
        <v>44136</v>
      </c>
      <c r="F213" s="13">
        <v>74804400</v>
      </c>
      <c r="G213" s="14">
        <v>0</v>
      </c>
      <c r="H213" s="9" t="s">
        <v>1959</v>
      </c>
      <c r="I213" s="15" t="s">
        <v>1961</v>
      </c>
      <c r="J213" s="16" t="s">
        <v>1960</v>
      </c>
      <c r="K213" s="17">
        <v>16</v>
      </c>
      <c r="L213" s="18" t="s">
        <v>44</v>
      </c>
      <c r="M213" s="19">
        <v>2337637.5</v>
      </c>
      <c r="N213" s="19">
        <v>0</v>
      </c>
      <c r="O213" s="19">
        <f>K213*(M213+N213)*2</f>
        <v>74804400</v>
      </c>
      <c r="P213" s="17" t="s">
        <v>45</v>
      </c>
      <c r="R213" s="31"/>
    </row>
    <row r="214" spans="1:18" x14ac:dyDescent="0.3">
      <c r="A214" s="9" t="s">
        <v>558</v>
      </c>
      <c r="B214" s="10" t="s">
        <v>559</v>
      </c>
      <c r="C214" s="11" t="s">
        <v>560</v>
      </c>
      <c r="D214" s="12">
        <v>43951</v>
      </c>
      <c r="E214" s="12">
        <v>43920</v>
      </c>
      <c r="F214" s="13">
        <v>27875000</v>
      </c>
      <c r="G214" s="14">
        <v>0</v>
      </c>
      <c r="H214" s="9" t="s">
        <v>561</v>
      </c>
      <c r="I214" s="15">
        <v>152446212</v>
      </c>
      <c r="J214" s="16" t="s">
        <v>562</v>
      </c>
      <c r="K214" s="17">
        <v>12500</v>
      </c>
      <c r="L214" s="18" t="s">
        <v>21</v>
      </c>
      <c r="M214" s="19">
        <v>1750</v>
      </c>
      <c r="N214" s="19">
        <v>0</v>
      </c>
      <c r="O214" s="19">
        <f t="shared" si="19"/>
        <v>21875000</v>
      </c>
      <c r="P214" s="17" t="s">
        <v>31</v>
      </c>
      <c r="R214" s="31"/>
    </row>
    <row r="215" spans="1:18" x14ac:dyDescent="0.3">
      <c r="A215" s="9" t="s">
        <v>558</v>
      </c>
      <c r="B215" s="10" t="s">
        <v>559</v>
      </c>
      <c r="C215" s="11" t="s">
        <v>563</v>
      </c>
      <c r="D215" s="12">
        <v>43951</v>
      </c>
      <c r="E215" s="12">
        <v>43920</v>
      </c>
      <c r="F215" s="13">
        <v>27875000</v>
      </c>
      <c r="G215" s="14">
        <v>0</v>
      </c>
      <c r="H215" s="9" t="s">
        <v>561</v>
      </c>
      <c r="I215" s="15">
        <v>152446212</v>
      </c>
      <c r="J215" s="16" t="s">
        <v>564</v>
      </c>
      <c r="K215" s="17">
        <v>600</v>
      </c>
      <c r="L215" s="18" t="s">
        <v>21</v>
      </c>
      <c r="M215" s="19">
        <v>10000</v>
      </c>
      <c r="N215" s="19">
        <v>0</v>
      </c>
      <c r="O215" s="19">
        <f t="shared" si="19"/>
        <v>6000000</v>
      </c>
      <c r="P215" s="17" t="s">
        <v>31</v>
      </c>
      <c r="R215" s="31"/>
    </row>
    <row r="216" spans="1:18" x14ac:dyDescent="0.3">
      <c r="A216" s="9" t="s">
        <v>558</v>
      </c>
      <c r="B216" s="10" t="s">
        <v>565</v>
      </c>
      <c r="C216" s="11" t="s">
        <v>566</v>
      </c>
      <c r="D216" s="12">
        <v>43937</v>
      </c>
      <c r="E216" s="12">
        <v>43942</v>
      </c>
      <c r="F216" s="13">
        <v>38556000</v>
      </c>
      <c r="G216" s="14">
        <v>0</v>
      </c>
      <c r="H216" s="9" t="s">
        <v>567</v>
      </c>
      <c r="I216" s="15">
        <v>900588802</v>
      </c>
      <c r="J216" s="16" t="s">
        <v>568</v>
      </c>
      <c r="K216" s="17">
        <v>3</v>
      </c>
      <c r="L216" s="18" t="s">
        <v>716</v>
      </c>
      <c r="M216" s="19">
        <v>10800000</v>
      </c>
      <c r="N216" s="19">
        <f>M216*0.19</f>
        <v>2052000</v>
      </c>
      <c r="O216" s="19">
        <f t="shared" si="19"/>
        <v>38556000</v>
      </c>
      <c r="P216" s="17" t="s">
        <v>570</v>
      </c>
      <c r="R216" s="31"/>
    </row>
    <row r="217" spans="1:18" x14ac:dyDescent="0.3">
      <c r="A217" s="9" t="s">
        <v>558</v>
      </c>
      <c r="B217" s="10" t="s">
        <v>571</v>
      </c>
      <c r="C217" s="11" t="s">
        <v>572</v>
      </c>
      <c r="D217" s="12">
        <v>43945</v>
      </c>
      <c r="E217" s="12">
        <v>43945</v>
      </c>
      <c r="F217" s="13">
        <v>37196160</v>
      </c>
      <c r="G217" s="14">
        <v>0</v>
      </c>
      <c r="H217" s="9" t="s">
        <v>332</v>
      </c>
      <c r="I217" s="15">
        <v>800037946</v>
      </c>
      <c r="J217" s="16" t="s">
        <v>573</v>
      </c>
      <c r="K217" s="17">
        <v>93</v>
      </c>
      <c r="L217" s="18" t="s">
        <v>70</v>
      </c>
      <c r="M217" s="19">
        <v>57800</v>
      </c>
      <c r="N217" s="19">
        <v>0</v>
      </c>
      <c r="O217" s="19">
        <f t="shared" si="19"/>
        <v>5375400</v>
      </c>
      <c r="P217" s="17" t="s">
        <v>69</v>
      </c>
      <c r="R217" s="31"/>
    </row>
    <row r="218" spans="1:18" x14ac:dyDescent="0.3">
      <c r="A218" s="9" t="s">
        <v>558</v>
      </c>
      <c r="B218" s="10" t="s">
        <v>571</v>
      </c>
      <c r="C218" s="11" t="s">
        <v>572</v>
      </c>
      <c r="D218" s="12">
        <v>43945</v>
      </c>
      <c r="E218" s="12">
        <v>43945</v>
      </c>
      <c r="F218" s="13">
        <v>37196160</v>
      </c>
      <c r="G218" s="14">
        <v>0</v>
      </c>
      <c r="H218" s="9" t="s">
        <v>332</v>
      </c>
      <c r="I218" s="15">
        <v>800037946</v>
      </c>
      <c r="J218" s="16" t="s">
        <v>574</v>
      </c>
      <c r="K218" s="17">
        <v>18</v>
      </c>
      <c r="L218" s="18" t="s">
        <v>21</v>
      </c>
      <c r="M218" s="19">
        <v>631600</v>
      </c>
      <c r="N218" s="19">
        <v>0</v>
      </c>
      <c r="O218" s="19">
        <f t="shared" si="19"/>
        <v>11368800</v>
      </c>
      <c r="P218" s="17" t="s">
        <v>185</v>
      </c>
      <c r="R218" s="31"/>
    </row>
    <row r="219" spans="1:18" x14ac:dyDescent="0.3">
      <c r="A219" s="9" t="s">
        <v>558</v>
      </c>
      <c r="B219" s="10" t="s">
        <v>571</v>
      </c>
      <c r="C219" s="11" t="s">
        <v>572</v>
      </c>
      <c r="D219" s="12">
        <v>43945</v>
      </c>
      <c r="E219" s="12">
        <v>43945</v>
      </c>
      <c r="F219" s="13">
        <v>37196160</v>
      </c>
      <c r="G219" s="14">
        <v>0</v>
      </c>
      <c r="H219" s="9" t="s">
        <v>332</v>
      </c>
      <c r="I219" s="15">
        <v>800037946</v>
      </c>
      <c r="J219" s="16" t="s">
        <v>575</v>
      </c>
      <c r="K219" s="17">
        <v>33000</v>
      </c>
      <c r="L219" s="18" t="s">
        <v>21</v>
      </c>
      <c r="M219" s="19">
        <v>541</v>
      </c>
      <c r="N219" s="19">
        <v>0</v>
      </c>
      <c r="O219" s="19">
        <f t="shared" si="19"/>
        <v>17853000</v>
      </c>
      <c r="P219" s="17" t="s">
        <v>31</v>
      </c>
      <c r="R219" s="31"/>
    </row>
    <row r="220" spans="1:18" x14ac:dyDescent="0.3">
      <c r="A220" s="9" t="s">
        <v>558</v>
      </c>
      <c r="B220" s="10" t="s">
        <v>571</v>
      </c>
      <c r="C220" s="11" t="s">
        <v>572</v>
      </c>
      <c r="D220" s="12">
        <v>43945</v>
      </c>
      <c r="E220" s="12">
        <v>43945</v>
      </c>
      <c r="F220" s="13">
        <v>37196160</v>
      </c>
      <c r="G220" s="14">
        <v>0</v>
      </c>
      <c r="H220" s="9" t="s">
        <v>332</v>
      </c>
      <c r="I220" s="15">
        <v>800037946</v>
      </c>
      <c r="J220" s="16" t="s">
        <v>576</v>
      </c>
      <c r="K220" s="17">
        <v>60</v>
      </c>
      <c r="L220" s="18" t="s">
        <v>21</v>
      </c>
      <c r="M220" s="19">
        <v>43316</v>
      </c>
      <c r="N220" s="19">
        <v>0</v>
      </c>
      <c r="O220" s="19">
        <f t="shared" si="19"/>
        <v>2598960</v>
      </c>
      <c r="P220" s="17" t="s">
        <v>98</v>
      </c>
      <c r="R220" s="31"/>
    </row>
    <row r="221" spans="1:18" x14ac:dyDescent="0.3">
      <c r="A221" s="9" t="s">
        <v>558</v>
      </c>
      <c r="B221" s="10" t="s">
        <v>577</v>
      </c>
      <c r="C221" s="11" t="s">
        <v>578</v>
      </c>
      <c r="D221" s="12">
        <v>43969</v>
      </c>
      <c r="E221" s="12">
        <v>43970</v>
      </c>
      <c r="F221" s="13">
        <v>17409500</v>
      </c>
      <c r="G221" s="14">
        <v>0</v>
      </c>
      <c r="H221" s="9" t="s">
        <v>579</v>
      </c>
      <c r="I221" s="15">
        <v>8301448751</v>
      </c>
      <c r="J221" s="16" t="s">
        <v>580</v>
      </c>
      <c r="K221" s="17">
        <v>500</v>
      </c>
      <c r="L221" s="18" t="s">
        <v>21</v>
      </c>
      <c r="M221" s="19">
        <v>34819</v>
      </c>
      <c r="N221" s="19">
        <v>0</v>
      </c>
      <c r="O221" s="19">
        <f t="shared" si="19"/>
        <v>17409500</v>
      </c>
      <c r="P221" s="17" t="s">
        <v>1948</v>
      </c>
      <c r="R221" s="31"/>
    </row>
    <row r="222" spans="1:18" x14ac:dyDescent="0.3">
      <c r="A222" s="9" t="s">
        <v>558</v>
      </c>
      <c r="B222" s="10" t="s">
        <v>581</v>
      </c>
      <c r="C222" s="11" t="s">
        <v>582</v>
      </c>
      <c r="D222" s="12">
        <v>43973</v>
      </c>
      <c r="E222" s="12">
        <v>43977</v>
      </c>
      <c r="F222" s="13">
        <v>13770000</v>
      </c>
      <c r="G222" s="14">
        <v>0</v>
      </c>
      <c r="H222" s="9" t="s">
        <v>583</v>
      </c>
      <c r="I222" s="15">
        <v>900745087</v>
      </c>
      <c r="J222" s="16" t="s">
        <v>584</v>
      </c>
      <c r="K222" s="17">
        <v>51</v>
      </c>
      <c r="L222" s="18" t="s">
        <v>21</v>
      </c>
      <c r="M222" s="19">
        <v>270000</v>
      </c>
      <c r="N222" s="19">
        <v>0</v>
      </c>
      <c r="O222" s="19">
        <f t="shared" si="19"/>
        <v>13770000</v>
      </c>
      <c r="P222" s="17" t="s">
        <v>185</v>
      </c>
      <c r="R222" s="31"/>
    </row>
    <row r="223" spans="1:18" x14ac:dyDescent="0.3">
      <c r="A223" s="9" t="s">
        <v>558</v>
      </c>
      <c r="B223" s="10" t="s">
        <v>585</v>
      </c>
      <c r="C223" s="11" t="s">
        <v>586</v>
      </c>
      <c r="D223" s="12">
        <v>43977</v>
      </c>
      <c r="E223" s="12">
        <v>43978</v>
      </c>
      <c r="F223" s="13">
        <v>18549720</v>
      </c>
      <c r="G223" s="14">
        <v>0</v>
      </c>
      <c r="H223" s="9" t="s">
        <v>587</v>
      </c>
      <c r="I223" s="15">
        <v>1090509490</v>
      </c>
      <c r="J223" s="16" t="s">
        <v>588</v>
      </c>
      <c r="K223" s="17">
        <v>2</v>
      </c>
      <c r="L223" s="18" t="s">
        <v>21</v>
      </c>
      <c r="M223" s="19">
        <v>1522500</v>
      </c>
      <c r="N223" s="19">
        <f t="shared" ref="N223:N227" si="21">M223*0.19</f>
        <v>289275</v>
      </c>
      <c r="O223" s="19">
        <f t="shared" si="19"/>
        <v>3623550</v>
      </c>
      <c r="P223" s="17" t="s">
        <v>65</v>
      </c>
      <c r="R223" s="31"/>
    </row>
    <row r="224" spans="1:18" x14ac:dyDescent="0.3">
      <c r="A224" s="9" t="s">
        <v>558</v>
      </c>
      <c r="B224" s="10" t="s">
        <v>585</v>
      </c>
      <c r="C224" s="11" t="s">
        <v>586</v>
      </c>
      <c r="D224" s="12">
        <v>43977</v>
      </c>
      <c r="E224" s="12">
        <v>43978</v>
      </c>
      <c r="F224" s="13">
        <v>18549720</v>
      </c>
      <c r="G224" s="14">
        <v>0</v>
      </c>
      <c r="H224" s="9" t="s">
        <v>587</v>
      </c>
      <c r="I224" s="15">
        <v>1090509490</v>
      </c>
      <c r="J224" s="16" t="s">
        <v>589</v>
      </c>
      <c r="K224" s="17">
        <v>6</v>
      </c>
      <c r="L224" s="18" t="s">
        <v>21</v>
      </c>
      <c r="M224" s="19">
        <v>758000</v>
      </c>
      <c r="N224" s="19">
        <f t="shared" si="21"/>
        <v>144020</v>
      </c>
      <c r="O224" s="19">
        <f t="shared" si="19"/>
        <v>5412120</v>
      </c>
      <c r="P224" s="17" t="s">
        <v>65</v>
      </c>
      <c r="R224" s="31"/>
    </row>
    <row r="225" spans="1:18" x14ac:dyDescent="0.3">
      <c r="A225" s="9" t="s">
        <v>558</v>
      </c>
      <c r="B225" s="10" t="s">
        <v>585</v>
      </c>
      <c r="C225" s="11" t="s">
        <v>586</v>
      </c>
      <c r="D225" s="12">
        <v>43977</v>
      </c>
      <c r="E225" s="12">
        <v>43978</v>
      </c>
      <c r="F225" s="13">
        <v>18549720</v>
      </c>
      <c r="G225" s="14">
        <v>0</v>
      </c>
      <c r="H225" s="9" t="s">
        <v>587</v>
      </c>
      <c r="I225" s="15">
        <v>1090509490</v>
      </c>
      <c r="J225" s="16" t="s">
        <v>590</v>
      </c>
      <c r="K225" s="17">
        <v>39</v>
      </c>
      <c r="L225" s="18" t="s">
        <v>21</v>
      </c>
      <c r="M225" s="19">
        <v>205000</v>
      </c>
      <c r="N225" s="19">
        <f t="shared" si="21"/>
        <v>38950</v>
      </c>
      <c r="O225" s="19">
        <f t="shared" si="19"/>
        <v>9514050</v>
      </c>
      <c r="P225" s="17" t="s">
        <v>82</v>
      </c>
      <c r="R225" s="31"/>
    </row>
    <row r="226" spans="1:18" x14ac:dyDescent="0.3">
      <c r="A226" s="9" t="s">
        <v>558</v>
      </c>
      <c r="B226" s="10" t="s">
        <v>591</v>
      </c>
      <c r="C226" s="11" t="s">
        <v>592</v>
      </c>
      <c r="D226" s="12">
        <v>43985</v>
      </c>
      <c r="E226" s="12">
        <v>43985</v>
      </c>
      <c r="F226" s="13">
        <v>22580250</v>
      </c>
      <c r="G226" s="14">
        <v>0</v>
      </c>
      <c r="H226" s="9" t="s">
        <v>593</v>
      </c>
      <c r="I226" s="15">
        <v>1090509490</v>
      </c>
      <c r="J226" s="16" t="s">
        <v>594</v>
      </c>
      <c r="K226" s="17">
        <v>47</v>
      </c>
      <c r="L226" s="18" t="s">
        <v>21</v>
      </c>
      <c r="M226" s="19">
        <v>285000</v>
      </c>
      <c r="N226" s="19">
        <f t="shared" si="21"/>
        <v>54150</v>
      </c>
      <c r="O226" s="19">
        <f t="shared" si="19"/>
        <v>15940050</v>
      </c>
      <c r="P226" s="17" t="s">
        <v>328</v>
      </c>
      <c r="R226" s="31"/>
    </row>
    <row r="227" spans="1:18" x14ac:dyDescent="0.3">
      <c r="A227" s="9" t="s">
        <v>558</v>
      </c>
      <c r="B227" s="10" t="s">
        <v>591</v>
      </c>
      <c r="C227" s="11" t="s">
        <v>592</v>
      </c>
      <c r="D227" s="12">
        <v>43985</v>
      </c>
      <c r="E227" s="12">
        <v>43985</v>
      </c>
      <c r="F227" s="13">
        <v>22580250</v>
      </c>
      <c r="G227" s="14">
        <v>0</v>
      </c>
      <c r="H227" s="9" t="s">
        <v>593</v>
      </c>
      <c r="I227" s="15">
        <v>1090509490</v>
      </c>
      <c r="J227" s="16" t="s">
        <v>595</v>
      </c>
      <c r="K227" s="17">
        <v>12</v>
      </c>
      <c r="L227" s="18" t="s">
        <v>21</v>
      </c>
      <c r="M227" s="19">
        <v>465000</v>
      </c>
      <c r="N227" s="19">
        <f t="shared" si="21"/>
        <v>88350</v>
      </c>
      <c r="O227" s="19">
        <f t="shared" si="19"/>
        <v>6640200</v>
      </c>
      <c r="P227" s="17" t="s">
        <v>328</v>
      </c>
      <c r="R227" s="31"/>
    </row>
    <row r="228" spans="1:18" x14ac:dyDescent="0.3">
      <c r="A228" s="9" t="s">
        <v>558</v>
      </c>
      <c r="B228" s="10" t="s">
        <v>596</v>
      </c>
      <c r="C228" s="11" t="s">
        <v>597</v>
      </c>
      <c r="D228" s="12">
        <v>43969</v>
      </c>
      <c r="E228" s="12">
        <v>43969</v>
      </c>
      <c r="F228" s="13">
        <v>189000000</v>
      </c>
      <c r="G228" s="14">
        <v>0</v>
      </c>
      <c r="H228" s="9" t="s">
        <v>501</v>
      </c>
      <c r="I228" s="15">
        <v>9009354530</v>
      </c>
      <c r="J228" s="16" t="s">
        <v>49</v>
      </c>
      <c r="K228" s="17">
        <v>145000</v>
      </c>
      <c r="L228" s="18" t="s">
        <v>21</v>
      </c>
      <c r="M228" s="19">
        <v>1300</v>
      </c>
      <c r="N228" s="19">
        <v>0</v>
      </c>
      <c r="O228" s="19">
        <f t="shared" si="19"/>
        <v>188500000</v>
      </c>
      <c r="P228" s="17" t="s">
        <v>31</v>
      </c>
      <c r="R228" s="31"/>
    </row>
    <row r="229" spans="1:18" x14ac:dyDescent="0.3">
      <c r="A229" s="9" t="s">
        <v>558</v>
      </c>
      <c r="B229" s="10" t="s">
        <v>598</v>
      </c>
      <c r="C229" s="11" t="s">
        <v>599</v>
      </c>
      <c r="D229" s="12">
        <v>43969</v>
      </c>
      <c r="E229" s="12">
        <v>43969</v>
      </c>
      <c r="F229" s="13">
        <v>28900000</v>
      </c>
      <c r="G229" s="14">
        <v>0</v>
      </c>
      <c r="H229" s="9" t="s">
        <v>600</v>
      </c>
      <c r="I229" s="15">
        <v>830037946</v>
      </c>
      <c r="J229" s="16" t="s">
        <v>573</v>
      </c>
      <c r="K229" s="17">
        <v>500</v>
      </c>
      <c r="L229" s="18" t="s">
        <v>70</v>
      </c>
      <c r="M229" s="19">
        <v>57800</v>
      </c>
      <c r="N229" s="19">
        <v>0</v>
      </c>
      <c r="O229" s="19">
        <f t="shared" si="19"/>
        <v>28900000</v>
      </c>
      <c r="P229" s="17" t="s">
        <v>69</v>
      </c>
      <c r="R229" s="31"/>
    </row>
    <row r="230" spans="1:18" x14ac:dyDescent="0.3">
      <c r="A230" s="9" t="s">
        <v>558</v>
      </c>
      <c r="B230" s="10" t="s">
        <v>601</v>
      </c>
      <c r="C230" s="11" t="s">
        <v>602</v>
      </c>
      <c r="D230" s="12">
        <v>43966</v>
      </c>
      <c r="E230" s="12">
        <v>43966</v>
      </c>
      <c r="F230" s="13">
        <v>5445000</v>
      </c>
      <c r="G230" s="14">
        <v>0</v>
      </c>
      <c r="H230" s="9" t="s">
        <v>603</v>
      </c>
      <c r="I230" s="15">
        <v>807369955</v>
      </c>
      <c r="J230" s="16" t="s">
        <v>49</v>
      </c>
      <c r="K230" s="17">
        <v>5000</v>
      </c>
      <c r="L230" s="18" t="s">
        <v>21</v>
      </c>
      <c r="M230" s="19">
        <v>989</v>
      </c>
      <c r="N230" s="19">
        <v>0</v>
      </c>
      <c r="O230" s="19">
        <f t="shared" si="19"/>
        <v>4945000</v>
      </c>
      <c r="P230" s="17" t="s">
        <v>31</v>
      </c>
      <c r="R230" s="31"/>
    </row>
    <row r="231" spans="1:18" x14ac:dyDescent="0.3">
      <c r="A231" s="9" t="s">
        <v>558</v>
      </c>
      <c r="B231" s="10" t="s">
        <v>604</v>
      </c>
      <c r="C231" s="11" t="s">
        <v>1789</v>
      </c>
      <c r="D231" s="12">
        <v>44006</v>
      </c>
      <c r="E231" s="12">
        <v>44005</v>
      </c>
      <c r="F231" s="13">
        <v>87606036</v>
      </c>
      <c r="G231" s="14">
        <v>0</v>
      </c>
      <c r="H231" s="9" t="s">
        <v>605</v>
      </c>
      <c r="I231" s="15">
        <v>807003817</v>
      </c>
      <c r="J231" s="16" t="s">
        <v>606</v>
      </c>
      <c r="K231" s="17">
        <v>18</v>
      </c>
      <c r="L231" s="18" t="s">
        <v>44</v>
      </c>
      <c r="M231" s="19">
        <v>1622334</v>
      </c>
      <c r="N231" s="19">
        <v>0</v>
      </c>
      <c r="O231" s="19">
        <f>K231*(M231+N231)*3</f>
        <v>87606036</v>
      </c>
      <c r="P231" s="17" t="s">
        <v>45</v>
      </c>
      <c r="R231" s="31"/>
    </row>
    <row r="232" spans="1:18" x14ac:dyDescent="0.3">
      <c r="A232" s="9" t="s">
        <v>558</v>
      </c>
      <c r="B232" s="10" t="s">
        <v>607</v>
      </c>
      <c r="C232" s="11" t="s">
        <v>608</v>
      </c>
      <c r="D232" s="12">
        <v>44007</v>
      </c>
      <c r="E232" s="12">
        <v>44012</v>
      </c>
      <c r="F232" s="13">
        <v>8568000</v>
      </c>
      <c r="G232" s="14">
        <v>0</v>
      </c>
      <c r="H232" s="9" t="s">
        <v>609</v>
      </c>
      <c r="I232" s="15">
        <v>372476171</v>
      </c>
      <c r="J232" s="16" t="s">
        <v>610</v>
      </c>
      <c r="K232" s="17">
        <v>60</v>
      </c>
      <c r="L232" s="18" t="s">
        <v>21</v>
      </c>
      <c r="M232" s="19">
        <v>120000</v>
      </c>
      <c r="N232" s="19">
        <f>M232*0.19</f>
        <v>22800</v>
      </c>
      <c r="O232" s="19">
        <f t="shared" si="19"/>
        <v>8568000</v>
      </c>
      <c r="P232" s="17" t="s">
        <v>82</v>
      </c>
      <c r="R232" s="31"/>
    </row>
    <row r="233" spans="1:18" x14ac:dyDescent="0.3">
      <c r="A233" s="9" t="s">
        <v>558</v>
      </c>
      <c r="B233" s="10" t="s">
        <v>611</v>
      </c>
      <c r="C233" s="28" t="s">
        <v>1790</v>
      </c>
      <c r="D233" s="12">
        <v>44019</v>
      </c>
      <c r="E233" s="12">
        <v>44019</v>
      </c>
      <c r="F233" s="13">
        <v>17229514</v>
      </c>
      <c r="G233" s="14">
        <v>0</v>
      </c>
      <c r="H233" s="9" t="s">
        <v>612</v>
      </c>
      <c r="I233" s="15">
        <v>901082049</v>
      </c>
      <c r="J233" s="16" t="s">
        <v>613</v>
      </c>
      <c r="K233" s="17">
        <v>1</v>
      </c>
      <c r="L233" s="18" t="s">
        <v>21</v>
      </c>
      <c r="M233" s="19">
        <v>17229514</v>
      </c>
      <c r="N233" s="19">
        <v>0</v>
      </c>
      <c r="O233" s="19">
        <f t="shared" si="19"/>
        <v>17229514</v>
      </c>
      <c r="P233" s="17" t="s">
        <v>613</v>
      </c>
      <c r="R233" s="31"/>
    </row>
    <row r="234" spans="1:18" x14ac:dyDescent="0.3">
      <c r="A234" s="9" t="s">
        <v>558</v>
      </c>
      <c r="B234" s="10" t="s">
        <v>614</v>
      </c>
      <c r="C234" s="28" t="s">
        <v>1791</v>
      </c>
      <c r="D234" s="12">
        <v>44020</v>
      </c>
      <c r="E234" s="12">
        <v>44022</v>
      </c>
      <c r="F234" s="13">
        <v>18314100</v>
      </c>
      <c r="G234" s="14">
        <v>3301060</v>
      </c>
      <c r="H234" s="9" t="s">
        <v>615</v>
      </c>
      <c r="I234" s="15">
        <v>9003340370</v>
      </c>
      <c r="J234" s="16" t="s">
        <v>394</v>
      </c>
      <c r="K234" s="17">
        <v>90</v>
      </c>
      <c r="L234" s="18" t="s">
        <v>21</v>
      </c>
      <c r="M234" s="19">
        <v>133000</v>
      </c>
      <c r="N234" s="19">
        <f t="shared" ref="N234:N237" si="22">M234*0.19</f>
        <v>25270</v>
      </c>
      <c r="O234" s="19">
        <f t="shared" si="19"/>
        <v>14244300</v>
      </c>
      <c r="P234" s="16" t="s">
        <v>119</v>
      </c>
      <c r="Q234" s="31"/>
      <c r="R234" s="31"/>
    </row>
    <row r="235" spans="1:18" x14ac:dyDescent="0.3">
      <c r="A235" s="9" t="s">
        <v>558</v>
      </c>
      <c r="B235" s="10" t="s">
        <v>614</v>
      </c>
      <c r="C235" s="28" t="s">
        <v>1791</v>
      </c>
      <c r="D235" s="12">
        <v>44020</v>
      </c>
      <c r="E235" s="12">
        <v>44022</v>
      </c>
      <c r="F235" s="13">
        <v>18314100</v>
      </c>
      <c r="G235" s="14">
        <v>3301060</v>
      </c>
      <c r="H235" s="9" t="s">
        <v>615</v>
      </c>
      <c r="I235" s="15">
        <v>9003340370</v>
      </c>
      <c r="J235" s="16" t="s">
        <v>120</v>
      </c>
      <c r="K235" s="17">
        <v>90</v>
      </c>
      <c r="L235" s="18" t="s">
        <v>21</v>
      </c>
      <c r="M235" s="19">
        <v>38000</v>
      </c>
      <c r="N235" s="19">
        <f t="shared" si="22"/>
        <v>7220</v>
      </c>
      <c r="O235" s="19">
        <f t="shared" si="19"/>
        <v>4069800</v>
      </c>
      <c r="P235" s="17" t="s">
        <v>120</v>
      </c>
      <c r="R235" s="31"/>
    </row>
    <row r="236" spans="1:18" x14ac:dyDescent="0.3">
      <c r="A236" s="9" t="s">
        <v>558</v>
      </c>
      <c r="B236" s="10" t="s">
        <v>617</v>
      </c>
      <c r="C236" s="28" t="s">
        <v>1792</v>
      </c>
      <c r="D236" s="12">
        <v>44021</v>
      </c>
      <c r="E236" s="12">
        <v>44025</v>
      </c>
      <c r="F236" s="13">
        <v>6664000</v>
      </c>
      <c r="G236" s="14">
        <v>3332000</v>
      </c>
      <c r="H236" s="9" t="s">
        <v>618</v>
      </c>
      <c r="I236" s="15">
        <v>807002365</v>
      </c>
      <c r="J236" s="16" t="s">
        <v>1966</v>
      </c>
      <c r="K236" s="17">
        <v>10</v>
      </c>
      <c r="L236" s="18" t="s">
        <v>92</v>
      </c>
      <c r="M236" s="19">
        <v>280000</v>
      </c>
      <c r="N236" s="19">
        <f t="shared" si="22"/>
        <v>53200</v>
      </c>
      <c r="O236" s="19">
        <f>K236*(M236+N236)*2</f>
        <v>6664000</v>
      </c>
      <c r="P236" s="17" t="s">
        <v>93</v>
      </c>
      <c r="R236" s="31"/>
    </row>
    <row r="237" spans="1:18" x14ac:dyDescent="0.3">
      <c r="A237" s="9" t="s">
        <v>558</v>
      </c>
      <c r="B237" s="10" t="s">
        <v>619</v>
      </c>
      <c r="C237" s="28" t="s">
        <v>1793</v>
      </c>
      <c r="D237" s="12">
        <v>44027</v>
      </c>
      <c r="E237" s="12">
        <v>44028</v>
      </c>
      <c r="F237" s="13">
        <v>28455875</v>
      </c>
      <c r="G237" s="14">
        <v>12131931</v>
      </c>
      <c r="H237" s="9" t="s">
        <v>620</v>
      </c>
      <c r="I237" s="15">
        <v>88206625</v>
      </c>
      <c r="J237" s="16" t="s">
        <v>1967</v>
      </c>
      <c r="K237" s="17">
        <v>43</v>
      </c>
      <c r="L237" s="18" t="s">
        <v>21</v>
      </c>
      <c r="M237" s="19">
        <f>(28455875/43)/1.19</f>
        <v>556104.65116279072</v>
      </c>
      <c r="N237" s="19">
        <f t="shared" si="22"/>
        <v>105659.88372093024</v>
      </c>
      <c r="O237" s="19">
        <f>K237*(M237+N237)</f>
        <v>28455875</v>
      </c>
      <c r="P237" s="17" t="s">
        <v>87</v>
      </c>
      <c r="R237" s="31"/>
    </row>
    <row r="238" spans="1:18" x14ac:dyDescent="0.3">
      <c r="A238" s="9" t="s">
        <v>558</v>
      </c>
      <c r="B238" s="10" t="s">
        <v>621</v>
      </c>
      <c r="C238" s="28" t="s">
        <v>1794</v>
      </c>
      <c r="D238" s="12">
        <v>44095</v>
      </c>
      <c r="E238" s="12">
        <v>44097</v>
      </c>
      <c r="F238" s="13">
        <v>5100000</v>
      </c>
      <c r="G238" s="14">
        <v>0</v>
      </c>
      <c r="H238" s="9" t="s">
        <v>622</v>
      </c>
      <c r="I238" s="15">
        <v>900352009</v>
      </c>
      <c r="J238" s="16" t="s">
        <v>1968</v>
      </c>
      <c r="K238" s="17">
        <v>255</v>
      </c>
      <c r="L238" s="18" t="s">
        <v>21</v>
      </c>
      <c r="M238" s="19">
        <v>20000</v>
      </c>
      <c r="N238" s="19">
        <v>0</v>
      </c>
      <c r="O238" s="19">
        <f t="shared" si="19"/>
        <v>5100000</v>
      </c>
      <c r="P238" s="21" t="s">
        <v>623</v>
      </c>
      <c r="R238" s="31"/>
    </row>
    <row r="239" spans="1:18" x14ac:dyDescent="0.3">
      <c r="A239" s="9" t="s">
        <v>558</v>
      </c>
      <c r="B239" s="10" t="s">
        <v>624</v>
      </c>
      <c r="C239" s="28" t="s">
        <v>1795</v>
      </c>
      <c r="D239" s="12">
        <v>44113</v>
      </c>
      <c r="E239" s="12">
        <v>44117</v>
      </c>
      <c r="F239" s="13">
        <v>17992800</v>
      </c>
      <c r="G239" s="14">
        <v>3427200</v>
      </c>
      <c r="H239" s="9" t="s">
        <v>625</v>
      </c>
      <c r="I239" s="15">
        <v>807002365</v>
      </c>
      <c r="J239" s="16" t="s">
        <v>1969</v>
      </c>
      <c r="K239" s="17">
        <v>21</v>
      </c>
      <c r="L239" s="18" t="s">
        <v>92</v>
      </c>
      <c r="M239" s="19">
        <v>360000</v>
      </c>
      <c r="N239" s="19">
        <f t="shared" ref="N239:N244" si="23">M239*0.19</f>
        <v>68400</v>
      </c>
      <c r="O239" s="19">
        <f>K239*(M239+N239)*2</f>
        <v>17992800</v>
      </c>
      <c r="P239" s="17" t="s">
        <v>93</v>
      </c>
      <c r="R239" s="31"/>
    </row>
    <row r="240" spans="1:18" x14ac:dyDescent="0.3">
      <c r="A240" s="9" t="s">
        <v>558</v>
      </c>
      <c r="B240" s="10" t="s">
        <v>626</v>
      </c>
      <c r="C240" s="28" t="s">
        <v>1796</v>
      </c>
      <c r="D240" s="12">
        <v>44174</v>
      </c>
      <c r="E240" s="12">
        <v>44175</v>
      </c>
      <c r="F240" s="13">
        <v>65937900</v>
      </c>
      <c r="G240" s="14">
        <v>0</v>
      </c>
      <c r="H240" s="9" t="s">
        <v>627</v>
      </c>
      <c r="I240" s="15">
        <v>88206625</v>
      </c>
      <c r="J240" s="16" t="s">
        <v>628</v>
      </c>
      <c r="K240" s="17">
        <v>87</v>
      </c>
      <c r="L240" s="18" t="s">
        <v>21</v>
      </c>
      <c r="M240" s="19">
        <f>55410000/87</f>
        <v>636896.55172413797</v>
      </c>
      <c r="N240" s="19">
        <f t="shared" si="23"/>
        <v>121010.34482758622</v>
      </c>
      <c r="O240" s="19">
        <f t="shared" si="19"/>
        <v>65937900</v>
      </c>
      <c r="P240" s="17" t="s">
        <v>87</v>
      </c>
      <c r="R240" s="31"/>
    </row>
    <row r="241" spans="1:21" x14ac:dyDescent="0.3">
      <c r="A241" s="9" t="s">
        <v>558</v>
      </c>
      <c r="B241" s="10" t="s">
        <v>2017</v>
      </c>
      <c r="C241" s="28" t="s">
        <v>629</v>
      </c>
      <c r="D241" s="12">
        <v>44074</v>
      </c>
      <c r="E241" s="12">
        <v>44074</v>
      </c>
      <c r="F241" s="13">
        <v>429895830</v>
      </c>
      <c r="G241" s="14">
        <v>0</v>
      </c>
      <c r="H241" s="9" t="s">
        <v>106</v>
      </c>
      <c r="I241" s="15">
        <v>900564459</v>
      </c>
      <c r="J241" s="16" t="s">
        <v>1965</v>
      </c>
      <c r="K241" s="17">
        <v>185</v>
      </c>
      <c r="L241" s="18" t="s">
        <v>21</v>
      </c>
      <c r="M241" s="19">
        <v>1875000</v>
      </c>
      <c r="N241" s="19">
        <f t="shared" si="23"/>
        <v>356250</v>
      </c>
      <c r="O241" s="19">
        <f t="shared" si="19"/>
        <v>412781250</v>
      </c>
      <c r="P241" s="17" t="s">
        <v>1751</v>
      </c>
      <c r="R241" s="31"/>
      <c r="T241" s="13"/>
      <c r="U241" s="31"/>
    </row>
    <row r="242" spans="1:21" x14ac:dyDescent="0.3">
      <c r="A242" s="9" t="s">
        <v>558</v>
      </c>
      <c r="B242" s="10" t="s">
        <v>2018</v>
      </c>
      <c r="C242" s="28" t="s">
        <v>630</v>
      </c>
      <c r="D242" s="12">
        <v>44077</v>
      </c>
      <c r="E242" s="12">
        <v>44077</v>
      </c>
      <c r="F242" s="13">
        <v>14787292</v>
      </c>
      <c r="G242" s="14">
        <v>0</v>
      </c>
      <c r="H242" s="9" t="s">
        <v>654</v>
      </c>
      <c r="I242" s="15">
        <v>8300013381</v>
      </c>
      <c r="J242" s="16" t="s">
        <v>1963</v>
      </c>
      <c r="K242" s="17">
        <f>353*3.75</f>
        <v>1323.75</v>
      </c>
      <c r="L242" s="18" t="s">
        <v>36</v>
      </c>
      <c r="M242" s="19">
        <f>6932/3.75</f>
        <v>1848.5333333333333</v>
      </c>
      <c r="N242" s="19">
        <f t="shared" si="23"/>
        <v>351.22133333333335</v>
      </c>
      <c r="O242" s="19">
        <f t="shared" si="19"/>
        <v>2911925.24</v>
      </c>
      <c r="P242" s="17" t="s">
        <v>39</v>
      </c>
      <c r="R242" s="31"/>
      <c r="U242" s="31"/>
    </row>
    <row r="243" spans="1:21" x14ac:dyDescent="0.3">
      <c r="A243" s="9" t="s">
        <v>558</v>
      </c>
      <c r="B243" s="10" t="s">
        <v>2018</v>
      </c>
      <c r="C243" s="28" t="s">
        <v>630</v>
      </c>
      <c r="D243" s="12">
        <v>44077</v>
      </c>
      <c r="E243" s="12">
        <v>44077</v>
      </c>
      <c r="F243" s="13">
        <v>14787292</v>
      </c>
      <c r="G243" s="14">
        <v>0</v>
      </c>
      <c r="H243" s="9" t="s">
        <v>654</v>
      </c>
      <c r="I243" s="15">
        <v>8300013381</v>
      </c>
      <c r="J243" s="16" t="s">
        <v>1964</v>
      </c>
      <c r="K243" s="17">
        <f>280*3.75</f>
        <v>1050</v>
      </c>
      <c r="L243" s="18" t="s">
        <v>36</v>
      </c>
      <c r="M243" s="19">
        <f>13000/3.75</f>
        <v>3466.6666666666665</v>
      </c>
      <c r="N243" s="19">
        <f t="shared" si="23"/>
        <v>658.66666666666663</v>
      </c>
      <c r="O243" s="19">
        <f t="shared" si="19"/>
        <v>4331600</v>
      </c>
      <c r="P243" s="17" t="s">
        <v>37</v>
      </c>
      <c r="R243" s="31"/>
    </row>
    <row r="244" spans="1:21" x14ac:dyDescent="0.3">
      <c r="A244" s="9" t="s">
        <v>558</v>
      </c>
      <c r="B244" s="10" t="s">
        <v>2018</v>
      </c>
      <c r="C244" s="28" t="s">
        <v>630</v>
      </c>
      <c r="D244" s="12">
        <v>44077</v>
      </c>
      <c r="E244" s="12">
        <v>44077</v>
      </c>
      <c r="F244" s="13">
        <v>14787292</v>
      </c>
      <c r="G244" s="14">
        <v>0</v>
      </c>
      <c r="H244" s="9" t="s">
        <v>654</v>
      </c>
      <c r="I244" s="15">
        <v>8300013381</v>
      </c>
      <c r="J244" s="16" t="s">
        <v>58</v>
      </c>
      <c r="K244" s="17">
        <v>1620</v>
      </c>
      <c r="L244" s="29" t="s">
        <v>2135</v>
      </c>
      <c r="M244" s="19">
        <v>3320</v>
      </c>
      <c r="N244" s="19">
        <f t="shared" si="23"/>
        <v>630.79999999999995</v>
      </c>
      <c r="O244" s="19">
        <f t="shared" si="19"/>
        <v>6400296</v>
      </c>
      <c r="P244" s="17" t="s">
        <v>656</v>
      </c>
      <c r="R244" s="31"/>
    </row>
    <row r="245" spans="1:21" x14ac:dyDescent="0.3">
      <c r="A245" s="9" t="s">
        <v>558</v>
      </c>
      <c r="B245" s="10" t="s">
        <v>2019</v>
      </c>
      <c r="C245" s="28" t="s">
        <v>632</v>
      </c>
      <c r="D245" s="12">
        <v>44095</v>
      </c>
      <c r="E245" s="12">
        <v>44095</v>
      </c>
      <c r="F245" s="13">
        <v>10920060</v>
      </c>
      <c r="G245" s="14">
        <v>0</v>
      </c>
      <c r="H245" s="9" t="s">
        <v>633</v>
      </c>
      <c r="I245" s="15">
        <v>900155107</v>
      </c>
      <c r="J245" s="16" t="s">
        <v>634</v>
      </c>
      <c r="K245" s="17">
        <v>180</v>
      </c>
      <c r="L245" s="18" t="s">
        <v>21</v>
      </c>
      <c r="M245" s="19">
        <v>60667</v>
      </c>
      <c r="N245" s="19">
        <v>0</v>
      </c>
      <c r="O245" s="19">
        <f t="shared" si="19"/>
        <v>10920060</v>
      </c>
      <c r="P245" s="17" t="s">
        <v>82</v>
      </c>
      <c r="R245" s="31"/>
    </row>
    <row r="246" spans="1:21" x14ac:dyDescent="0.3">
      <c r="A246" s="9" t="s">
        <v>558</v>
      </c>
      <c r="B246" s="10" t="s">
        <v>2020</v>
      </c>
      <c r="C246" s="28" t="s">
        <v>635</v>
      </c>
      <c r="D246" s="12">
        <v>44123</v>
      </c>
      <c r="E246" s="12">
        <v>44123</v>
      </c>
      <c r="F246" s="13">
        <v>110694600</v>
      </c>
      <c r="G246" s="14">
        <v>0</v>
      </c>
      <c r="H246" s="9" t="s">
        <v>106</v>
      </c>
      <c r="I246" s="15">
        <v>900564459</v>
      </c>
      <c r="J246" t="s">
        <v>636</v>
      </c>
      <c r="K246" s="17">
        <v>320</v>
      </c>
      <c r="L246" s="18" t="s">
        <v>21</v>
      </c>
      <c r="M246" s="19">
        <v>172000</v>
      </c>
      <c r="N246" s="19">
        <f t="shared" ref="N246:N247" si="24">M246*0.19</f>
        <v>32680</v>
      </c>
      <c r="O246" s="19">
        <f t="shared" si="19"/>
        <v>65497600</v>
      </c>
      <c r="P246" s="17" t="s">
        <v>120</v>
      </c>
      <c r="R246" s="31"/>
    </row>
    <row r="247" spans="1:21" x14ac:dyDescent="0.3">
      <c r="A247" s="9" t="s">
        <v>558</v>
      </c>
      <c r="B247" s="10" t="s">
        <v>2020</v>
      </c>
      <c r="C247" s="28" t="s">
        <v>635</v>
      </c>
      <c r="D247" s="12">
        <v>44123</v>
      </c>
      <c r="E247" s="12">
        <v>44123</v>
      </c>
      <c r="F247" s="13">
        <v>110694600</v>
      </c>
      <c r="G247" s="14">
        <v>0</v>
      </c>
      <c r="H247" s="9" t="s">
        <v>106</v>
      </c>
      <c r="I247" s="15">
        <v>900564459</v>
      </c>
      <c r="J247" t="s">
        <v>637</v>
      </c>
      <c r="K247" s="17">
        <v>150</v>
      </c>
      <c r="L247" s="18" t="s">
        <v>21</v>
      </c>
      <c r="M247" s="19">
        <v>242000</v>
      </c>
      <c r="N247" s="19">
        <f t="shared" si="24"/>
        <v>45980</v>
      </c>
      <c r="O247" s="19">
        <f t="shared" si="19"/>
        <v>43197000</v>
      </c>
      <c r="P247" s="16" t="s">
        <v>119</v>
      </c>
      <c r="R247" s="31"/>
    </row>
    <row r="248" spans="1:21" x14ac:dyDescent="0.3">
      <c r="A248" s="9" t="s">
        <v>558</v>
      </c>
      <c r="B248" s="10" t="s">
        <v>2021</v>
      </c>
      <c r="C248" s="28" t="s">
        <v>638</v>
      </c>
      <c r="D248" s="12">
        <v>44126</v>
      </c>
      <c r="E248" s="12">
        <v>44126</v>
      </c>
      <c r="F248" s="13">
        <v>2773305</v>
      </c>
      <c r="G248" s="14">
        <v>0</v>
      </c>
      <c r="H248" s="9" t="s">
        <v>172</v>
      </c>
      <c r="I248" s="15" t="s">
        <v>639</v>
      </c>
      <c r="J248" s="16" t="s">
        <v>185</v>
      </c>
      <c r="K248" s="17">
        <v>15</v>
      </c>
      <c r="L248" s="18" t="s">
        <v>21</v>
      </c>
      <c r="M248" s="19">
        <v>184887</v>
      </c>
      <c r="N248" s="19">
        <v>0</v>
      </c>
      <c r="O248" s="19">
        <f t="shared" si="19"/>
        <v>2773305</v>
      </c>
      <c r="P248" s="17" t="s">
        <v>185</v>
      </c>
      <c r="R248" s="31"/>
    </row>
    <row r="249" spans="1:21" x14ac:dyDescent="0.3">
      <c r="A249" s="9" t="s">
        <v>558</v>
      </c>
      <c r="B249" s="10" t="s">
        <v>2022</v>
      </c>
      <c r="C249" s="28" t="s">
        <v>640</v>
      </c>
      <c r="D249" s="12">
        <v>44130</v>
      </c>
      <c r="E249" s="12">
        <v>44130</v>
      </c>
      <c r="F249" s="13">
        <v>3850000</v>
      </c>
      <c r="G249" s="14">
        <v>0</v>
      </c>
      <c r="H249" s="9" t="s">
        <v>172</v>
      </c>
      <c r="I249" s="15">
        <v>900155107</v>
      </c>
      <c r="J249" s="16" t="s">
        <v>641</v>
      </c>
      <c r="K249" s="17">
        <v>70</v>
      </c>
      <c r="L249" s="18" t="s">
        <v>21</v>
      </c>
      <c r="M249" s="19">
        <v>55000</v>
      </c>
      <c r="N249" s="19">
        <v>0</v>
      </c>
      <c r="O249" s="19">
        <f t="shared" si="19"/>
        <v>3850000</v>
      </c>
      <c r="P249" s="17" t="s">
        <v>98</v>
      </c>
      <c r="R249" s="31"/>
    </row>
    <row r="250" spans="1:21" x14ac:dyDescent="0.3">
      <c r="A250" s="9" t="s">
        <v>558</v>
      </c>
      <c r="B250" s="10" t="s">
        <v>2023</v>
      </c>
      <c r="C250" s="28" t="s">
        <v>642</v>
      </c>
      <c r="D250" s="12">
        <v>44126</v>
      </c>
      <c r="E250" s="12">
        <v>44126</v>
      </c>
      <c r="F250" s="13">
        <v>5710500</v>
      </c>
      <c r="G250" s="14">
        <v>0</v>
      </c>
      <c r="H250" s="9" t="s">
        <v>332</v>
      </c>
      <c r="I250" s="15">
        <v>830037946</v>
      </c>
      <c r="J250" s="16" t="s">
        <v>643</v>
      </c>
      <c r="K250" s="17">
        <v>500</v>
      </c>
      <c r="L250" s="18" t="s">
        <v>21</v>
      </c>
      <c r="M250" s="19">
        <v>11421</v>
      </c>
      <c r="N250" s="19">
        <v>0</v>
      </c>
      <c r="O250" s="19">
        <f t="shared" si="19"/>
        <v>5710500</v>
      </c>
      <c r="P250" s="17" t="s">
        <v>75</v>
      </c>
      <c r="R250" s="31"/>
    </row>
    <row r="251" spans="1:21" x14ac:dyDescent="0.3">
      <c r="A251" s="9" t="s">
        <v>558</v>
      </c>
      <c r="B251" s="10" t="s">
        <v>2024</v>
      </c>
      <c r="C251" s="28" t="s">
        <v>644</v>
      </c>
      <c r="D251" s="12">
        <v>44161</v>
      </c>
      <c r="E251" s="12">
        <v>44161</v>
      </c>
      <c r="F251" s="13">
        <v>1800000</v>
      </c>
      <c r="G251" s="14">
        <v>0</v>
      </c>
      <c r="H251" s="9" t="s">
        <v>419</v>
      </c>
      <c r="I251" s="15">
        <v>900017447</v>
      </c>
      <c r="J251" s="16" t="s">
        <v>185</v>
      </c>
      <c r="K251" s="17">
        <v>18</v>
      </c>
      <c r="L251" s="18" t="s">
        <v>21</v>
      </c>
      <c r="M251" s="19">
        <v>100000</v>
      </c>
      <c r="N251" s="19">
        <v>0</v>
      </c>
      <c r="O251" s="19">
        <f t="shared" si="19"/>
        <v>1800000</v>
      </c>
      <c r="P251" s="17" t="s">
        <v>185</v>
      </c>
      <c r="R251" s="31"/>
    </row>
    <row r="252" spans="1:21" x14ac:dyDescent="0.3">
      <c r="A252" s="9" t="s">
        <v>558</v>
      </c>
      <c r="B252" s="10" t="s">
        <v>2025</v>
      </c>
      <c r="C252" s="28" t="s">
        <v>645</v>
      </c>
      <c r="D252" s="12">
        <v>44163</v>
      </c>
      <c r="E252" s="12">
        <v>44163</v>
      </c>
      <c r="F252" s="13">
        <v>5550000</v>
      </c>
      <c r="G252" s="14">
        <v>0</v>
      </c>
      <c r="H252" s="9" t="s">
        <v>646</v>
      </c>
      <c r="I252" s="15">
        <v>800237412</v>
      </c>
      <c r="J252" s="16" t="s">
        <v>647</v>
      </c>
      <c r="K252" s="17">
        <v>775</v>
      </c>
      <c r="L252" s="18" t="s">
        <v>471</v>
      </c>
      <c r="M252" s="19">
        <f>5500000/775</f>
        <v>7096.7741935483873</v>
      </c>
      <c r="N252" s="19">
        <v>0</v>
      </c>
      <c r="O252" s="19">
        <f t="shared" si="19"/>
        <v>5500000</v>
      </c>
      <c r="P252" s="16" t="s">
        <v>647</v>
      </c>
      <c r="R252" s="31"/>
    </row>
    <row r="253" spans="1:21" x14ac:dyDescent="0.3">
      <c r="A253" s="9" t="s">
        <v>558</v>
      </c>
      <c r="B253" s="10" t="s">
        <v>2026</v>
      </c>
      <c r="C253" s="28" t="s">
        <v>648</v>
      </c>
      <c r="D253" s="12">
        <v>44168</v>
      </c>
      <c r="E253" s="12">
        <v>44168</v>
      </c>
      <c r="F253" s="13">
        <v>5250000</v>
      </c>
      <c r="G253" s="14">
        <v>0</v>
      </c>
      <c r="H253" s="9" t="s">
        <v>649</v>
      </c>
      <c r="I253" s="15">
        <v>830037946</v>
      </c>
      <c r="J253" t="s">
        <v>643</v>
      </c>
      <c r="K253" s="17">
        <v>500</v>
      </c>
      <c r="L253" s="18" t="s">
        <v>21</v>
      </c>
      <c r="M253" s="19">
        <v>10500</v>
      </c>
      <c r="N253" s="19">
        <v>0</v>
      </c>
      <c r="O253" s="19">
        <f t="shared" si="19"/>
        <v>5250000</v>
      </c>
      <c r="P253" s="17" t="s">
        <v>75</v>
      </c>
      <c r="R253" s="31"/>
    </row>
    <row r="254" spans="1:21" x14ac:dyDescent="0.3">
      <c r="A254" s="9" t="s">
        <v>558</v>
      </c>
      <c r="B254" s="10" t="s">
        <v>2027</v>
      </c>
      <c r="C254" s="28" t="s">
        <v>650</v>
      </c>
      <c r="D254" s="12">
        <v>44168</v>
      </c>
      <c r="E254" s="12">
        <v>44168</v>
      </c>
      <c r="F254" s="13">
        <v>87600000</v>
      </c>
      <c r="G254" s="14">
        <v>0</v>
      </c>
      <c r="H254" s="9" t="s">
        <v>651</v>
      </c>
      <c r="I254" s="15">
        <v>900017447</v>
      </c>
      <c r="J254" t="s">
        <v>652</v>
      </c>
      <c r="K254" s="17">
        <v>120000</v>
      </c>
      <c r="L254" s="18" t="s">
        <v>21</v>
      </c>
      <c r="M254" s="19">
        <v>729.99360000000001</v>
      </c>
      <c r="N254" s="19">
        <v>0</v>
      </c>
      <c r="O254" s="19">
        <f t="shared" si="19"/>
        <v>87599232</v>
      </c>
      <c r="P254" s="17" t="s">
        <v>31</v>
      </c>
      <c r="R254" s="31"/>
    </row>
    <row r="255" spans="1:21" x14ac:dyDescent="0.3">
      <c r="A255" s="9" t="s">
        <v>558</v>
      </c>
      <c r="B255" s="10" t="s">
        <v>2028</v>
      </c>
      <c r="C255" s="28" t="s">
        <v>653</v>
      </c>
      <c r="D255" s="12">
        <v>44181</v>
      </c>
      <c r="E255" s="12">
        <v>44181</v>
      </c>
      <c r="F255" s="13">
        <v>12812903.15</v>
      </c>
      <c r="G255" s="14">
        <v>0</v>
      </c>
      <c r="H255" s="9" t="s">
        <v>654</v>
      </c>
      <c r="I255" s="15">
        <v>8300013381</v>
      </c>
      <c r="J255" s="16" t="s">
        <v>545</v>
      </c>
      <c r="K255" s="17">
        <f>400*3.75</f>
        <v>1500</v>
      </c>
      <c r="L255" s="18" t="s">
        <v>36</v>
      </c>
      <c r="M255" s="19">
        <f>17110/3.75</f>
        <v>4562.666666666667</v>
      </c>
      <c r="N255" s="19">
        <v>0</v>
      </c>
      <c r="O255" s="19">
        <f t="shared" si="19"/>
        <v>6844000</v>
      </c>
      <c r="P255" s="17" t="s">
        <v>37</v>
      </c>
      <c r="R255" s="31"/>
    </row>
    <row r="256" spans="1:21" x14ac:dyDescent="0.3">
      <c r="A256" s="9" t="s">
        <v>558</v>
      </c>
      <c r="B256" s="10" t="s">
        <v>2028</v>
      </c>
      <c r="C256" s="28" t="s">
        <v>653</v>
      </c>
      <c r="D256" s="12">
        <v>44181</v>
      </c>
      <c r="E256" s="12">
        <v>44181</v>
      </c>
      <c r="F256" s="13">
        <v>12812903.15</v>
      </c>
      <c r="G256" s="14">
        <v>0</v>
      </c>
      <c r="H256" s="9" t="s">
        <v>654</v>
      </c>
      <c r="I256" s="15">
        <v>830001338</v>
      </c>
      <c r="J256" s="16" t="s">
        <v>655</v>
      </c>
      <c r="K256" s="17">
        <v>1735</v>
      </c>
      <c r="L256" s="29" t="s">
        <v>2135</v>
      </c>
      <c r="M256" s="19">
        <v>3440.29</v>
      </c>
      <c r="N256" s="19">
        <v>0</v>
      </c>
      <c r="O256" s="19">
        <f t="shared" si="19"/>
        <v>5968903.1500000004</v>
      </c>
      <c r="P256" s="21" t="s">
        <v>656</v>
      </c>
      <c r="R256" s="31"/>
    </row>
    <row r="257" spans="1:18" x14ac:dyDescent="0.3">
      <c r="A257" s="9" t="s">
        <v>657</v>
      </c>
      <c r="B257" s="10" t="s">
        <v>658</v>
      </c>
      <c r="C257" s="11" t="s">
        <v>659</v>
      </c>
      <c r="D257" s="12">
        <v>43917</v>
      </c>
      <c r="E257" s="12">
        <v>43917</v>
      </c>
      <c r="F257" s="13">
        <v>4000000</v>
      </c>
      <c r="G257" s="14">
        <v>0</v>
      </c>
      <c r="H257" s="9" t="s">
        <v>660</v>
      </c>
      <c r="I257" s="15">
        <v>813005241</v>
      </c>
      <c r="J257" s="16" t="s">
        <v>661</v>
      </c>
      <c r="K257" s="17">
        <v>200</v>
      </c>
      <c r="L257" s="18" t="s">
        <v>21</v>
      </c>
      <c r="M257" s="19">
        <v>16806.72</v>
      </c>
      <c r="N257" s="19">
        <f>M257*0.19</f>
        <v>3193.2768000000001</v>
      </c>
      <c r="O257" s="19">
        <f t="shared" si="19"/>
        <v>3999999.3600000003</v>
      </c>
      <c r="P257" s="17" t="s">
        <v>22</v>
      </c>
      <c r="R257" s="31"/>
    </row>
    <row r="258" spans="1:18" x14ac:dyDescent="0.3">
      <c r="A258" s="9" t="s">
        <v>657</v>
      </c>
      <c r="B258" s="10" t="s">
        <v>662</v>
      </c>
      <c r="C258" s="11" t="s">
        <v>663</v>
      </c>
      <c r="D258" s="12">
        <v>43963</v>
      </c>
      <c r="E258" s="12">
        <v>43963</v>
      </c>
      <c r="F258" s="13">
        <v>166018725</v>
      </c>
      <c r="G258" s="14">
        <v>0</v>
      </c>
      <c r="H258" s="9" t="s">
        <v>660</v>
      </c>
      <c r="I258" s="15">
        <v>813005241</v>
      </c>
      <c r="J258" s="16" t="s">
        <v>664</v>
      </c>
      <c r="K258" s="17">
        <v>26000</v>
      </c>
      <c r="L258" s="18" t="s">
        <v>21</v>
      </c>
      <c r="M258" s="19">
        <v>1100</v>
      </c>
      <c r="N258" s="19">
        <v>0</v>
      </c>
      <c r="O258" s="19">
        <f t="shared" ref="O258:O321" si="25">K258*(M258+N258)</f>
        <v>28600000</v>
      </c>
      <c r="P258" s="17" t="s">
        <v>31</v>
      </c>
      <c r="R258" s="31"/>
    </row>
    <row r="259" spans="1:18" x14ac:dyDescent="0.3">
      <c r="A259" s="9" t="s">
        <v>657</v>
      </c>
      <c r="B259" s="10" t="s">
        <v>662</v>
      </c>
      <c r="C259" s="11" t="s">
        <v>663</v>
      </c>
      <c r="D259" s="12">
        <v>43963</v>
      </c>
      <c r="E259" s="12">
        <v>43963</v>
      </c>
      <c r="F259" s="13">
        <v>166018725</v>
      </c>
      <c r="G259" s="14">
        <v>0</v>
      </c>
      <c r="H259" s="9" t="s">
        <v>660</v>
      </c>
      <c r="I259" s="15">
        <v>813005241</v>
      </c>
      <c r="J259" s="16" t="s">
        <v>665</v>
      </c>
      <c r="K259" s="17">
        <v>600</v>
      </c>
      <c r="L259" s="18" t="s">
        <v>70</v>
      </c>
      <c r="M259" s="19">
        <v>42100</v>
      </c>
      <c r="N259" s="19">
        <v>0</v>
      </c>
      <c r="O259" s="19">
        <f t="shared" si="25"/>
        <v>25260000</v>
      </c>
      <c r="P259" s="17" t="s">
        <v>69</v>
      </c>
      <c r="R259" s="31"/>
    </row>
    <row r="260" spans="1:18" x14ac:dyDescent="0.3">
      <c r="A260" s="9" t="s">
        <v>657</v>
      </c>
      <c r="B260" s="10" t="s">
        <v>662</v>
      </c>
      <c r="C260" s="11" t="s">
        <v>663</v>
      </c>
      <c r="D260" s="12">
        <v>43963</v>
      </c>
      <c r="E260" s="12">
        <v>43963</v>
      </c>
      <c r="F260" s="13">
        <v>166018725</v>
      </c>
      <c r="G260" s="14">
        <v>0</v>
      </c>
      <c r="H260" s="9" t="s">
        <v>660</v>
      </c>
      <c r="I260" s="15">
        <v>813005241</v>
      </c>
      <c r="J260" s="16" t="s">
        <v>360</v>
      </c>
      <c r="K260" s="17">
        <v>491</v>
      </c>
      <c r="L260" s="29" t="s">
        <v>2135</v>
      </c>
      <c r="M260" s="19">
        <v>6975</v>
      </c>
      <c r="N260" s="19">
        <v>0</v>
      </c>
      <c r="O260" s="19">
        <f t="shared" si="25"/>
        <v>3424725</v>
      </c>
      <c r="P260" s="21" t="s">
        <v>656</v>
      </c>
      <c r="R260" s="31"/>
    </row>
    <row r="261" spans="1:18" x14ac:dyDescent="0.3">
      <c r="A261" s="9" t="s">
        <v>657</v>
      </c>
      <c r="B261" s="10" t="s">
        <v>662</v>
      </c>
      <c r="C261" s="11" t="s">
        <v>663</v>
      </c>
      <c r="D261" s="12">
        <v>43963</v>
      </c>
      <c r="E261" s="12">
        <v>43963</v>
      </c>
      <c r="F261" s="13">
        <v>166018725</v>
      </c>
      <c r="G261" s="14">
        <v>0</v>
      </c>
      <c r="H261" s="9" t="s">
        <v>660</v>
      </c>
      <c r="I261" s="15">
        <v>813005241</v>
      </c>
      <c r="J261" s="16" t="s">
        <v>666</v>
      </c>
      <c r="K261" s="17">
        <v>2660</v>
      </c>
      <c r="L261" s="18" t="s">
        <v>36</v>
      </c>
      <c r="M261" s="19">
        <v>15478.947368421053</v>
      </c>
      <c r="N261" s="19">
        <v>0</v>
      </c>
      <c r="O261" s="19">
        <f t="shared" si="25"/>
        <v>41174000</v>
      </c>
      <c r="P261" s="17" t="s">
        <v>37</v>
      </c>
      <c r="R261" s="31"/>
    </row>
    <row r="262" spans="1:18" x14ac:dyDescent="0.3">
      <c r="A262" s="9" t="s">
        <v>657</v>
      </c>
      <c r="B262" s="10" t="s">
        <v>662</v>
      </c>
      <c r="C262" s="11" t="s">
        <v>663</v>
      </c>
      <c r="D262" s="12">
        <v>43963</v>
      </c>
      <c r="E262" s="12">
        <v>43963</v>
      </c>
      <c r="F262" s="13">
        <v>166018725</v>
      </c>
      <c r="G262" s="14">
        <v>0</v>
      </c>
      <c r="H262" s="9" t="s">
        <v>660</v>
      </c>
      <c r="I262" s="15">
        <v>813005241</v>
      </c>
      <c r="J262" s="16" t="s">
        <v>667</v>
      </c>
      <c r="K262" s="46">
        <v>2400</v>
      </c>
      <c r="L262" s="18" t="s">
        <v>36</v>
      </c>
      <c r="M262" s="19">
        <v>7500</v>
      </c>
      <c r="N262" s="19">
        <v>0</v>
      </c>
      <c r="O262" s="19">
        <f t="shared" si="25"/>
        <v>18000000</v>
      </c>
      <c r="P262" s="17" t="s">
        <v>39</v>
      </c>
      <c r="R262" s="31"/>
    </row>
    <row r="263" spans="1:18" x14ac:dyDescent="0.3">
      <c r="A263" s="9" t="s">
        <v>657</v>
      </c>
      <c r="B263" s="10" t="s">
        <v>662</v>
      </c>
      <c r="C263" s="11" t="s">
        <v>663</v>
      </c>
      <c r="D263" s="12">
        <v>43963</v>
      </c>
      <c r="E263" s="12">
        <v>43963</v>
      </c>
      <c r="F263" s="13">
        <v>166018725</v>
      </c>
      <c r="G263" s="14">
        <v>0</v>
      </c>
      <c r="H263" s="9" t="s">
        <v>660</v>
      </c>
      <c r="I263" s="15">
        <v>813005241</v>
      </c>
      <c r="J263" s="16" t="s">
        <v>668</v>
      </c>
      <c r="K263" s="17">
        <v>15</v>
      </c>
      <c r="L263" s="18" t="s">
        <v>21</v>
      </c>
      <c r="M263" s="19">
        <v>380000</v>
      </c>
      <c r="N263" s="19">
        <v>0</v>
      </c>
      <c r="O263" s="19">
        <f t="shared" si="25"/>
        <v>5700000</v>
      </c>
      <c r="P263" s="17" t="s">
        <v>185</v>
      </c>
      <c r="R263" s="31"/>
    </row>
    <row r="264" spans="1:18" x14ac:dyDescent="0.3">
      <c r="A264" s="9" t="s">
        <v>657</v>
      </c>
      <c r="B264" s="10" t="s">
        <v>662</v>
      </c>
      <c r="C264" s="11" t="s">
        <v>663</v>
      </c>
      <c r="D264" s="12">
        <v>43963</v>
      </c>
      <c r="E264" s="12">
        <v>43963</v>
      </c>
      <c r="F264" s="13">
        <v>166018725</v>
      </c>
      <c r="G264" s="14">
        <v>0</v>
      </c>
      <c r="H264" s="9" t="s">
        <v>660</v>
      </c>
      <c r="I264" s="15">
        <v>813005241</v>
      </c>
      <c r="J264" s="16" t="s">
        <v>669</v>
      </c>
      <c r="K264" s="17">
        <v>17</v>
      </c>
      <c r="L264" s="18" t="s">
        <v>21</v>
      </c>
      <c r="M264" s="19">
        <v>2168067.23</v>
      </c>
      <c r="N264" s="19">
        <f>M264*0.19</f>
        <v>411932.77370000002</v>
      </c>
      <c r="O264" s="19">
        <f t="shared" si="25"/>
        <v>43860000.062900007</v>
      </c>
      <c r="P264" s="17" t="s">
        <v>65</v>
      </c>
      <c r="R264" s="31"/>
    </row>
    <row r="265" spans="1:18" x14ac:dyDescent="0.3">
      <c r="A265" s="9" t="s">
        <v>657</v>
      </c>
      <c r="B265" s="10" t="s">
        <v>670</v>
      </c>
      <c r="C265" s="11" t="s">
        <v>671</v>
      </c>
      <c r="D265" s="12">
        <v>44015</v>
      </c>
      <c r="E265" s="12">
        <v>44018</v>
      </c>
      <c r="F265" s="13">
        <v>201000100</v>
      </c>
      <c r="G265" s="14">
        <v>0</v>
      </c>
      <c r="H265" s="9" t="s">
        <v>660</v>
      </c>
      <c r="I265" s="15">
        <v>813005241</v>
      </c>
      <c r="J265" s="16" t="s">
        <v>31</v>
      </c>
      <c r="K265" s="17">
        <v>75000</v>
      </c>
      <c r="L265" s="18" t="s">
        <v>21</v>
      </c>
      <c r="M265" s="19">
        <v>1320</v>
      </c>
      <c r="N265" s="19">
        <v>0</v>
      </c>
      <c r="O265" s="19">
        <f t="shared" si="25"/>
        <v>99000000</v>
      </c>
      <c r="P265" s="17" t="s">
        <v>31</v>
      </c>
      <c r="R265" s="31"/>
    </row>
    <row r="266" spans="1:18" x14ac:dyDescent="0.3">
      <c r="A266" s="9" t="s">
        <v>657</v>
      </c>
      <c r="B266" s="10" t="s">
        <v>670</v>
      </c>
      <c r="C266" s="11" t="s">
        <v>671</v>
      </c>
      <c r="D266" s="12">
        <v>44015</v>
      </c>
      <c r="E266" s="12">
        <v>44018</v>
      </c>
      <c r="F266" s="13">
        <v>201000100</v>
      </c>
      <c r="G266" s="14">
        <v>0</v>
      </c>
      <c r="H266" s="9" t="s">
        <v>660</v>
      </c>
      <c r="I266" s="15">
        <v>813005241</v>
      </c>
      <c r="J266" s="16" t="s">
        <v>672</v>
      </c>
      <c r="K266" s="17">
        <v>265</v>
      </c>
      <c r="L266" s="18" t="s">
        <v>70</v>
      </c>
      <c r="M266" s="19">
        <v>43000</v>
      </c>
      <c r="N266" s="19">
        <v>0</v>
      </c>
      <c r="O266" s="19">
        <f t="shared" si="25"/>
        <v>11395000</v>
      </c>
      <c r="P266" s="17" t="s">
        <v>69</v>
      </c>
      <c r="R266" s="31"/>
    </row>
    <row r="267" spans="1:18" x14ac:dyDescent="0.3">
      <c r="A267" s="9" t="s">
        <v>657</v>
      </c>
      <c r="B267" s="10" t="s">
        <v>670</v>
      </c>
      <c r="C267" s="11" t="s">
        <v>671</v>
      </c>
      <c r="D267" s="12">
        <v>44015</v>
      </c>
      <c r="E267" s="12">
        <v>44018</v>
      </c>
      <c r="F267" s="13">
        <v>201000100</v>
      </c>
      <c r="G267" s="14">
        <v>0</v>
      </c>
      <c r="H267" s="9" t="s">
        <v>660</v>
      </c>
      <c r="I267" s="15">
        <v>813005241</v>
      </c>
      <c r="J267" s="16" t="s">
        <v>360</v>
      </c>
      <c r="K267" s="17">
        <v>975</v>
      </c>
      <c r="L267" s="29" t="s">
        <v>2135</v>
      </c>
      <c r="M267" s="19">
        <v>6300</v>
      </c>
      <c r="N267" s="19">
        <v>0</v>
      </c>
      <c r="O267" s="19">
        <f t="shared" si="25"/>
        <v>6142500</v>
      </c>
      <c r="P267" s="21" t="s">
        <v>656</v>
      </c>
      <c r="R267" s="31"/>
    </row>
    <row r="268" spans="1:18" x14ac:dyDescent="0.3">
      <c r="A268" s="9" t="s">
        <v>657</v>
      </c>
      <c r="B268" s="10" t="s">
        <v>670</v>
      </c>
      <c r="C268" s="11" t="s">
        <v>671</v>
      </c>
      <c r="D268" s="12">
        <v>44015</v>
      </c>
      <c r="E268" s="12">
        <v>44018</v>
      </c>
      <c r="F268" s="13">
        <v>201000100</v>
      </c>
      <c r="G268" s="14">
        <v>0</v>
      </c>
      <c r="H268" s="9" t="s">
        <v>660</v>
      </c>
      <c r="I268" s="15">
        <v>813005241</v>
      </c>
      <c r="J268" s="16" t="s">
        <v>673</v>
      </c>
      <c r="K268" s="17">
        <v>2850</v>
      </c>
      <c r="L268" s="18" t="s">
        <v>36</v>
      </c>
      <c r="M268" s="19">
        <v>54000</v>
      </c>
      <c r="N268" s="19">
        <v>0</v>
      </c>
      <c r="O268" s="19">
        <f t="shared" si="25"/>
        <v>153900000</v>
      </c>
      <c r="P268" s="17" t="s">
        <v>37</v>
      </c>
      <c r="R268" s="31"/>
    </row>
    <row r="269" spans="1:18" x14ac:dyDescent="0.3">
      <c r="A269" s="9" t="s">
        <v>657</v>
      </c>
      <c r="B269" s="10" t="s">
        <v>670</v>
      </c>
      <c r="C269" s="11" t="s">
        <v>671</v>
      </c>
      <c r="D269" s="12">
        <v>44015</v>
      </c>
      <c r="E269" s="12">
        <v>44018</v>
      </c>
      <c r="F269" s="13">
        <v>201000100</v>
      </c>
      <c r="G269" s="14">
        <v>0</v>
      </c>
      <c r="H269" s="9" t="s">
        <v>660</v>
      </c>
      <c r="I269" s="15">
        <v>813005241</v>
      </c>
      <c r="J269" s="16" t="s">
        <v>674</v>
      </c>
      <c r="K269" s="17">
        <v>30</v>
      </c>
      <c r="L269" s="18" t="s">
        <v>36</v>
      </c>
      <c r="M269" s="19">
        <v>9900</v>
      </c>
      <c r="N269" s="19">
        <v>0</v>
      </c>
      <c r="O269" s="19">
        <f t="shared" si="25"/>
        <v>297000</v>
      </c>
      <c r="P269" s="17" t="s">
        <v>37</v>
      </c>
      <c r="R269" s="31"/>
    </row>
    <row r="270" spans="1:18" x14ac:dyDescent="0.3">
      <c r="A270" s="9" t="s">
        <v>657</v>
      </c>
      <c r="B270" s="10" t="s">
        <v>670</v>
      </c>
      <c r="C270" s="11" t="s">
        <v>671</v>
      </c>
      <c r="D270" s="12">
        <v>44015</v>
      </c>
      <c r="E270" s="12">
        <v>44018</v>
      </c>
      <c r="F270" s="13">
        <v>201000100</v>
      </c>
      <c r="G270" s="14">
        <v>0</v>
      </c>
      <c r="H270" s="9" t="s">
        <v>660</v>
      </c>
      <c r="I270" s="15">
        <v>813005241</v>
      </c>
      <c r="J270" s="16" t="s">
        <v>667</v>
      </c>
      <c r="K270" s="46">
        <v>2400</v>
      </c>
      <c r="L270" s="18" t="s">
        <v>36</v>
      </c>
      <c r="M270" s="19">
        <v>6000</v>
      </c>
      <c r="N270" s="19">
        <v>0</v>
      </c>
      <c r="O270" s="19">
        <f t="shared" si="25"/>
        <v>14400000</v>
      </c>
      <c r="P270" s="17" t="s">
        <v>39</v>
      </c>
      <c r="R270" s="31"/>
    </row>
    <row r="271" spans="1:18" x14ac:dyDescent="0.3">
      <c r="A271" s="9" t="s">
        <v>657</v>
      </c>
      <c r="B271" s="10" t="s">
        <v>670</v>
      </c>
      <c r="C271" s="11" t="s">
        <v>671</v>
      </c>
      <c r="D271" s="12">
        <v>44015</v>
      </c>
      <c r="E271" s="12">
        <v>44018</v>
      </c>
      <c r="F271" s="13">
        <v>201000100</v>
      </c>
      <c r="G271" s="14">
        <v>0</v>
      </c>
      <c r="H271" s="9" t="s">
        <v>660</v>
      </c>
      <c r="I271" s="15">
        <v>813005241</v>
      </c>
      <c r="J271" s="16" t="s">
        <v>75</v>
      </c>
      <c r="K271" s="17">
        <v>1000</v>
      </c>
      <c r="L271" s="18" t="s">
        <v>21</v>
      </c>
      <c r="M271" s="19">
        <v>8300</v>
      </c>
      <c r="N271" s="19">
        <v>0</v>
      </c>
      <c r="O271" s="19">
        <f t="shared" si="25"/>
        <v>8300000</v>
      </c>
      <c r="P271" s="17" t="s">
        <v>75</v>
      </c>
      <c r="R271" s="31"/>
    </row>
    <row r="272" spans="1:18" x14ac:dyDescent="0.3">
      <c r="A272" s="9" t="s">
        <v>657</v>
      </c>
      <c r="B272" s="10" t="s">
        <v>670</v>
      </c>
      <c r="C272" s="11" t="s">
        <v>671</v>
      </c>
      <c r="D272" s="12">
        <v>44015</v>
      </c>
      <c r="E272" s="12">
        <v>44018</v>
      </c>
      <c r="F272" s="13">
        <v>201000100</v>
      </c>
      <c r="G272" s="14">
        <v>0</v>
      </c>
      <c r="H272" s="9" t="s">
        <v>660</v>
      </c>
      <c r="I272" s="15">
        <v>813005241</v>
      </c>
      <c r="J272" s="16" t="s">
        <v>1942</v>
      </c>
      <c r="K272" s="17">
        <v>50</v>
      </c>
      <c r="L272" s="18" t="s">
        <v>21</v>
      </c>
      <c r="M272" s="19">
        <v>8000</v>
      </c>
      <c r="N272" s="19">
        <v>0</v>
      </c>
      <c r="O272" s="19">
        <f t="shared" si="25"/>
        <v>400000</v>
      </c>
      <c r="P272" s="17" t="s">
        <v>631</v>
      </c>
      <c r="R272" s="31"/>
    </row>
    <row r="273" spans="1:18" x14ac:dyDescent="0.3">
      <c r="A273" s="9" t="s">
        <v>657</v>
      </c>
      <c r="B273" s="10" t="s">
        <v>670</v>
      </c>
      <c r="C273" s="11" t="s">
        <v>671</v>
      </c>
      <c r="D273" s="12">
        <v>44015</v>
      </c>
      <c r="E273" s="12">
        <v>44018</v>
      </c>
      <c r="F273" s="13">
        <v>201000100</v>
      </c>
      <c r="G273" s="14">
        <v>0</v>
      </c>
      <c r="H273" s="9" t="s">
        <v>660</v>
      </c>
      <c r="I273" s="15">
        <v>813005241</v>
      </c>
      <c r="J273" s="16" t="s">
        <v>675</v>
      </c>
      <c r="K273" s="17">
        <v>150</v>
      </c>
      <c r="L273" s="18" t="s">
        <v>21</v>
      </c>
      <c r="M273" s="19">
        <v>22000</v>
      </c>
      <c r="N273" s="19">
        <v>0</v>
      </c>
      <c r="O273" s="19">
        <f t="shared" si="25"/>
        <v>3300000</v>
      </c>
      <c r="P273" s="17" t="s">
        <v>98</v>
      </c>
      <c r="R273" s="31"/>
    </row>
    <row r="274" spans="1:18" x14ac:dyDescent="0.3">
      <c r="A274" s="9" t="s">
        <v>657</v>
      </c>
      <c r="B274" s="10" t="s">
        <v>670</v>
      </c>
      <c r="C274" s="11" t="s">
        <v>671</v>
      </c>
      <c r="D274" s="12">
        <v>44015</v>
      </c>
      <c r="E274" s="12">
        <v>44018</v>
      </c>
      <c r="F274" s="13">
        <v>201000100</v>
      </c>
      <c r="G274" s="14">
        <v>0</v>
      </c>
      <c r="H274" s="9" t="s">
        <v>660</v>
      </c>
      <c r="I274" s="15">
        <v>813005241</v>
      </c>
      <c r="J274" s="16" t="s">
        <v>676</v>
      </c>
      <c r="K274" s="17">
        <v>200</v>
      </c>
      <c r="L274" s="18" t="s">
        <v>515</v>
      </c>
      <c r="M274" s="19">
        <v>17500</v>
      </c>
      <c r="N274" s="19">
        <v>0</v>
      </c>
      <c r="O274" s="19">
        <f t="shared" si="25"/>
        <v>3500000</v>
      </c>
      <c r="P274" s="17" t="s">
        <v>516</v>
      </c>
      <c r="R274" s="31"/>
    </row>
    <row r="275" spans="1:18" x14ac:dyDescent="0.3">
      <c r="A275" s="9" t="s">
        <v>657</v>
      </c>
      <c r="B275" s="10" t="s">
        <v>670</v>
      </c>
      <c r="C275" s="11" t="s">
        <v>671</v>
      </c>
      <c r="D275" s="12">
        <v>44015</v>
      </c>
      <c r="E275" s="12">
        <v>44018</v>
      </c>
      <c r="F275" s="13">
        <v>201000100</v>
      </c>
      <c r="G275" s="14">
        <v>0</v>
      </c>
      <c r="H275" s="9" t="s">
        <v>660</v>
      </c>
      <c r="I275" s="15">
        <v>813005241</v>
      </c>
      <c r="J275" s="16" t="s">
        <v>677</v>
      </c>
      <c r="K275" s="17">
        <v>48</v>
      </c>
      <c r="L275" s="18" t="s">
        <v>21</v>
      </c>
      <c r="M275" s="19">
        <v>43200</v>
      </c>
      <c r="N275" s="19">
        <v>0</v>
      </c>
      <c r="O275" s="19">
        <f t="shared" si="25"/>
        <v>2073600</v>
      </c>
      <c r="P275" s="17" t="s">
        <v>82</v>
      </c>
      <c r="R275" s="31"/>
    </row>
    <row r="276" spans="1:18" x14ac:dyDescent="0.3">
      <c r="A276" s="9" t="s">
        <v>657</v>
      </c>
      <c r="B276" s="10" t="s">
        <v>678</v>
      </c>
      <c r="C276" s="11" t="s">
        <v>679</v>
      </c>
      <c r="D276" s="12">
        <v>44005</v>
      </c>
      <c r="E276" s="12">
        <v>44006</v>
      </c>
      <c r="F276" s="13">
        <v>83500000</v>
      </c>
      <c r="G276" s="14">
        <v>0</v>
      </c>
      <c r="H276" s="9" t="s">
        <v>680</v>
      </c>
      <c r="I276" s="15">
        <v>890701338</v>
      </c>
      <c r="J276" s="16" t="s">
        <v>681</v>
      </c>
      <c r="K276" s="17">
        <v>13</v>
      </c>
      <c r="L276" s="18" t="s">
        <v>44</v>
      </c>
      <c r="M276" s="19">
        <v>2141025.6153846155</v>
      </c>
      <c r="N276" s="19">
        <v>0</v>
      </c>
      <c r="O276" s="19">
        <f>K276*(M276+N276)*3</f>
        <v>83499999</v>
      </c>
      <c r="P276" s="17" t="s">
        <v>45</v>
      </c>
      <c r="R276" s="31"/>
    </row>
    <row r="277" spans="1:18" x14ac:dyDescent="0.3">
      <c r="A277" s="9" t="s">
        <v>657</v>
      </c>
      <c r="B277" s="10" t="s">
        <v>683</v>
      </c>
      <c r="C277" s="11" t="s">
        <v>679</v>
      </c>
      <c r="D277" s="12">
        <v>44098</v>
      </c>
      <c r="E277" s="12">
        <v>44099</v>
      </c>
      <c r="F277" s="13">
        <v>89066667</v>
      </c>
      <c r="G277" s="14">
        <v>0</v>
      </c>
      <c r="H277" s="9" t="s">
        <v>680</v>
      </c>
      <c r="I277" s="15">
        <v>890701338</v>
      </c>
      <c r="J277" s="16" t="s">
        <v>684</v>
      </c>
      <c r="K277" s="17">
        <v>13</v>
      </c>
      <c r="L277" s="18" t="s">
        <v>44</v>
      </c>
      <c r="M277" s="19">
        <v>2141025.6153846155</v>
      </c>
      <c r="N277" s="19">
        <v>0</v>
      </c>
      <c r="O277" s="19">
        <f>K277*(M277+N277)*3.2</f>
        <v>89066665.600000009</v>
      </c>
      <c r="P277" s="17" t="s">
        <v>45</v>
      </c>
      <c r="R277" s="31"/>
    </row>
    <row r="278" spans="1:18" x14ac:dyDescent="0.3">
      <c r="A278" s="9" t="s">
        <v>657</v>
      </c>
      <c r="B278" s="10" t="s">
        <v>2029</v>
      </c>
      <c r="C278" s="11" t="s">
        <v>1797</v>
      </c>
      <c r="D278" s="12">
        <v>44161</v>
      </c>
      <c r="E278" s="12">
        <v>44161</v>
      </c>
      <c r="F278" s="13">
        <v>29330000</v>
      </c>
      <c r="G278" s="14">
        <v>0</v>
      </c>
      <c r="H278" s="9" t="s">
        <v>686</v>
      </c>
      <c r="I278" s="15">
        <v>900454322</v>
      </c>
      <c r="J278" s="16" t="s">
        <v>664</v>
      </c>
      <c r="K278" s="17">
        <v>3000</v>
      </c>
      <c r="L278" s="18" t="s">
        <v>21</v>
      </c>
      <c r="M278" s="19">
        <v>9500</v>
      </c>
      <c r="N278" s="19">
        <v>0</v>
      </c>
      <c r="O278" s="19">
        <f t="shared" si="25"/>
        <v>28500000</v>
      </c>
      <c r="P278" s="17" t="s">
        <v>31</v>
      </c>
      <c r="R278" s="31"/>
    </row>
    <row r="279" spans="1:18" x14ac:dyDescent="0.3">
      <c r="A279" s="9" t="s">
        <v>657</v>
      </c>
      <c r="B279" s="10" t="s">
        <v>2030</v>
      </c>
      <c r="C279" s="11" t="s">
        <v>1797</v>
      </c>
      <c r="D279" s="12">
        <v>44161</v>
      </c>
      <c r="E279" s="12">
        <v>44161</v>
      </c>
      <c r="F279" s="13">
        <v>2400000</v>
      </c>
      <c r="G279" s="14">
        <v>0</v>
      </c>
      <c r="H279" s="9" t="s">
        <v>687</v>
      </c>
      <c r="I279" s="15">
        <v>900907931</v>
      </c>
      <c r="J279" s="16" t="s">
        <v>75</v>
      </c>
      <c r="K279" s="17">
        <v>1200</v>
      </c>
      <c r="L279" s="18" t="s">
        <v>21</v>
      </c>
      <c r="M279" s="19">
        <v>2000</v>
      </c>
      <c r="N279" s="19">
        <v>0</v>
      </c>
      <c r="O279" s="19">
        <f t="shared" si="25"/>
        <v>2400000</v>
      </c>
      <c r="P279" s="17" t="s">
        <v>75</v>
      </c>
      <c r="R279" s="31"/>
    </row>
    <row r="280" spans="1:18" x14ac:dyDescent="0.3">
      <c r="A280" s="9" t="s">
        <v>657</v>
      </c>
      <c r="B280" s="10" t="s">
        <v>2031</v>
      </c>
      <c r="C280" s="11" t="s">
        <v>1797</v>
      </c>
      <c r="D280" s="12">
        <v>44159</v>
      </c>
      <c r="E280" s="12">
        <v>44159</v>
      </c>
      <c r="F280" s="13">
        <v>38115250</v>
      </c>
      <c r="G280" s="14">
        <v>0</v>
      </c>
      <c r="H280" s="9" t="s">
        <v>158</v>
      </c>
      <c r="I280" s="15">
        <v>830001338</v>
      </c>
      <c r="J280" s="16" t="s">
        <v>360</v>
      </c>
      <c r="K280" s="17">
        <v>10000</v>
      </c>
      <c r="L280" s="29" t="s">
        <v>2135</v>
      </c>
      <c r="M280" s="19">
        <v>2561</v>
      </c>
      <c r="N280" s="19">
        <f>M280*0.19</f>
        <v>486.59000000000003</v>
      </c>
      <c r="O280" s="19">
        <f t="shared" si="25"/>
        <v>30475900</v>
      </c>
      <c r="P280" s="21" t="s">
        <v>656</v>
      </c>
      <c r="R280" s="31"/>
    </row>
    <row r="281" spans="1:18" x14ac:dyDescent="0.3">
      <c r="A281" s="9" t="s">
        <v>657</v>
      </c>
      <c r="B281" s="10" t="s">
        <v>2031</v>
      </c>
      <c r="C281" s="11" t="s">
        <v>1797</v>
      </c>
      <c r="D281" s="12">
        <v>44159</v>
      </c>
      <c r="E281" s="12">
        <v>44159</v>
      </c>
      <c r="F281" s="13">
        <v>38115250</v>
      </c>
      <c r="G281" s="14">
        <v>0</v>
      </c>
      <c r="H281" s="9" t="s">
        <v>158</v>
      </c>
      <c r="I281" s="15">
        <v>830001338</v>
      </c>
      <c r="J281" s="16" t="s">
        <v>666</v>
      </c>
      <c r="K281" s="17">
        <f>96*3.75</f>
        <v>360</v>
      </c>
      <c r="L281" s="18" t="s">
        <v>36</v>
      </c>
      <c r="M281" s="19">
        <f>11965/3.75</f>
        <v>3190.6666666666665</v>
      </c>
      <c r="N281" s="19">
        <v>0</v>
      </c>
      <c r="O281" s="19">
        <f t="shared" si="25"/>
        <v>1148640</v>
      </c>
      <c r="P281" s="17" t="s">
        <v>37</v>
      </c>
      <c r="R281" s="31"/>
    </row>
    <row r="282" spans="1:18" x14ac:dyDescent="0.3">
      <c r="A282" s="9" t="s">
        <v>657</v>
      </c>
      <c r="B282" s="10" t="s">
        <v>2031</v>
      </c>
      <c r="C282" s="11" t="s">
        <v>1797</v>
      </c>
      <c r="D282" s="12">
        <v>44159</v>
      </c>
      <c r="E282" s="12">
        <v>44159</v>
      </c>
      <c r="F282" s="13">
        <v>38115250</v>
      </c>
      <c r="G282" s="14">
        <v>0</v>
      </c>
      <c r="H282" s="9" t="s">
        <v>158</v>
      </c>
      <c r="I282" s="15">
        <v>830001338</v>
      </c>
      <c r="J282" s="16" t="s">
        <v>667</v>
      </c>
      <c r="K282" s="46">
        <f>810*3.75</f>
        <v>3037.5</v>
      </c>
      <c r="L282" s="18" t="s">
        <v>36</v>
      </c>
      <c r="M282" s="19">
        <f>5791/3.75</f>
        <v>1544.2666666666667</v>
      </c>
      <c r="N282" s="19">
        <v>0</v>
      </c>
      <c r="O282" s="19">
        <f t="shared" si="25"/>
        <v>4690710</v>
      </c>
      <c r="P282" s="17" t="s">
        <v>39</v>
      </c>
      <c r="R282" s="31"/>
    </row>
    <row r="283" spans="1:18" x14ac:dyDescent="0.3">
      <c r="A283" s="9" t="s">
        <v>657</v>
      </c>
      <c r="B283" s="10" t="s">
        <v>2032</v>
      </c>
      <c r="C283" s="11" t="s">
        <v>1797</v>
      </c>
      <c r="D283" s="12">
        <v>44159</v>
      </c>
      <c r="E283" s="12">
        <v>44159</v>
      </c>
      <c r="F283" s="13">
        <v>2242730</v>
      </c>
      <c r="G283" s="14">
        <v>0</v>
      </c>
      <c r="H283" s="9" t="s">
        <v>356</v>
      </c>
      <c r="I283" s="15">
        <v>900300970</v>
      </c>
      <c r="J283" s="16" t="s">
        <v>669</v>
      </c>
      <c r="K283" s="17">
        <v>3</v>
      </c>
      <c r="L283" s="18" t="s">
        <v>21</v>
      </c>
      <c r="M283" s="19">
        <v>589000</v>
      </c>
      <c r="N283" s="19">
        <f>M283*0.19</f>
        <v>111910</v>
      </c>
      <c r="O283" s="19">
        <f t="shared" si="25"/>
        <v>2102730</v>
      </c>
      <c r="P283" s="17" t="s">
        <v>65</v>
      </c>
      <c r="R283" s="31"/>
    </row>
    <row r="284" spans="1:18" x14ac:dyDescent="0.3">
      <c r="A284" s="9" t="s">
        <v>657</v>
      </c>
      <c r="B284" s="10" t="s">
        <v>2033</v>
      </c>
      <c r="C284" s="11" t="s">
        <v>1797</v>
      </c>
      <c r="D284" s="12">
        <v>44159</v>
      </c>
      <c r="E284" s="12">
        <v>44159</v>
      </c>
      <c r="F284" s="13">
        <v>18333600</v>
      </c>
      <c r="G284" s="14">
        <v>0</v>
      </c>
      <c r="H284" s="9" t="s">
        <v>688</v>
      </c>
      <c r="I284" s="15">
        <v>830108770</v>
      </c>
      <c r="J284" s="16" t="s">
        <v>161</v>
      </c>
      <c r="K284" s="17">
        <f>1200*3.75</f>
        <v>4500</v>
      </c>
      <c r="L284" s="18" t="s">
        <v>36</v>
      </c>
      <c r="M284" s="19">
        <f>12800/3.75</f>
        <v>3413.3333333333335</v>
      </c>
      <c r="N284" s="19">
        <v>0</v>
      </c>
      <c r="O284" s="19">
        <f t="shared" si="25"/>
        <v>15360000</v>
      </c>
      <c r="P284" s="17" t="s">
        <v>161</v>
      </c>
      <c r="R284" s="31"/>
    </row>
    <row r="285" spans="1:18" x14ac:dyDescent="0.3">
      <c r="A285" s="9" t="s">
        <v>657</v>
      </c>
      <c r="B285" s="10" t="s">
        <v>2034</v>
      </c>
      <c r="C285" s="11" t="s">
        <v>1797</v>
      </c>
      <c r="D285" s="12">
        <v>44159</v>
      </c>
      <c r="E285" s="12">
        <v>44159</v>
      </c>
      <c r="F285" s="13">
        <v>2187000</v>
      </c>
      <c r="G285" s="14">
        <v>0</v>
      </c>
      <c r="H285" s="9" t="s">
        <v>689</v>
      </c>
      <c r="I285" s="15">
        <v>52223268</v>
      </c>
      <c r="J285" s="16" t="s">
        <v>668</v>
      </c>
      <c r="K285" s="17">
        <v>55</v>
      </c>
      <c r="L285" s="18" t="s">
        <v>21</v>
      </c>
      <c r="M285" s="19">
        <v>37200</v>
      </c>
      <c r="N285" s="19">
        <v>0</v>
      </c>
      <c r="O285" s="19">
        <f t="shared" si="25"/>
        <v>2046000</v>
      </c>
      <c r="P285" s="17" t="s">
        <v>185</v>
      </c>
      <c r="R285" s="31"/>
    </row>
    <row r="286" spans="1:18" x14ac:dyDescent="0.3">
      <c r="A286" s="9" t="s">
        <v>690</v>
      </c>
      <c r="B286" s="10" t="s">
        <v>691</v>
      </c>
      <c r="C286" s="11" t="s">
        <v>692</v>
      </c>
      <c r="D286" s="12">
        <v>43910</v>
      </c>
      <c r="E286" s="12">
        <v>43910</v>
      </c>
      <c r="F286" s="13">
        <v>3689000</v>
      </c>
      <c r="G286" s="14">
        <v>0</v>
      </c>
      <c r="H286" s="9" t="s">
        <v>693</v>
      </c>
      <c r="I286" s="15">
        <v>901095058</v>
      </c>
      <c r="J286" s="16" t="s">
        <v>694</v>
      </c>
      <c r="K286" s="17">
        <v>200</v>
      </c>
      <c r="L286" s="18" t="s">
        <v>21</v>
      </c>
      <c r="M286" s="19">
        <v>15500</v>
      </c>
      <c r="N286" s="19">
        <f t="shared" ref="N286:N291" si="26">M286*0.19</f>
        <v>2945</v>
      </c>
      <c r="O286" s="19">
        <f t="shared" si="25"/>
        <v>3689000</v>
      </c>
      <c r="P286" s="17" t="s">
        <v>22</v>
      </c>
      <c r="R286" s="31"/>
    </row>
    <row r="287" spans="1:18" x14ac:dyDescent="0.3">
      <c r="A287" s="9" t="s">
        <v>690</v>
      </c>
      <c r="B287" s="10" t="s">
        <v>695</v>
      </c>
      <c r="C287" s="11" t="s">
        <v>696</v>
      </c>
      <c r="D287" s="12">
        <v>43910</v>
      </c>
      <c r="E287" s="12">
        <v>43910</v>
      </c>
      <c r="F287" s="13">
        <v>9496200</v>
      </c>
      <c r="G287" s="14">
        <v>0</v>
      </c>
      <c r="H287" s="9" t="s">
        <v>697</v>
      </c>
      <c r="I287" s="15">
        <v>890806147</v>
      </c>
      <c r="J287" s="16" t="s">
        <v>698</v>
      </c>
      <c r="K287" s="17">
        <v>80</v>
      </c>
      <c r="L287" s="18" t="s">
        <v>70</v>
      </c>
      <c r="M287" s="19">
        <v>15000</v>
      </c>
      <c r="N287" s="19">
        <f t="shared" si="26"/>
        <v>2850</v>
      </c>
      <c r="O287" s="19">
        <f t="shared" si="25"/>
        <v>1428000</v>
      </c>
      <c r="P287" s="17" t="s">
        <v>145</v>
      </c>
      <c r="R287" s="31"/>
    </row>
    <row r="288" spans="1:18" x14ac:dyDescent="0.3">
      <c r="A288" s="9" t="s">
        <v>690</v>
      </c>
      <c r="B288" s="10" t="s">
        <v>695</v>
      </c>
      <c r="C288" s="11" t="s">
        <v>696</v>
      </c>
      <c r="D288" s="12">
        <v>43910</v>
      </c>
      <c r="E288" s="12">
        <v>43910</v>
      </c>
      <c r="F288" s="13">
        <v>9496200</v>
      </c>
      <c r="G288" s="14">
        <v>0</v>
      </c>
      <c r="H288" s="9" t="s">
        <v>697</v>
      </c>
      <c r="I288" s="15">
        <v>890806147</v>
      </c>
      <c r="J288" s="16" t="s">
        <v>699</v>
      </c>
      <c r="K288" s="17">
        <v>116</v>
      </c>
      <c r="L288" s="18" t="s">
        <v>70</v>
      </c>
      <c r="M288" s="19">
        <v>15000</v>
      </c>
      <c r="N288" s="19">
        <f t="shared" si="26"/>
        <v>2850</v>
      </c>
      <c r="O288" s="19">
        <f t="shared" si="25"/>
        <v>2070600</v>
      </c>
      <c r="P288" s="17" t="s">
        <v>145</v>
      </c>
      <c r="R288" s="31"/>
    </row>
    <row r="289" spans="1:18" x14ac:dyDescent="0.3">
      <c r="A289" s="9" t="s">
        <v>690</v>
      </c>
      <c r="B289" s="10" t="s">
        <v>695</v>
      </c>
      <c r="C289" s="11" t="s">
        <v>696</v>
      </c>
      <c r="D289" s="12">
        <v>43910</v>
      </c>
      <c r="E289" s="12">
        <v>43910</v>
      </c>
      <c r="F289" s="13">
        <v>9496200</v>
      </c>
      <c r="G289" s="14">
        <v>0</v>
      </c>
      <c r="H289" s="9" t="s">
        <v>697</v>
      </c>
      <c r="I289" s="15">
        <v>890806147</v>
      </c>
      <c r="J289" s="16" t="s">
        <v>700</v>
      </c>
      <c r="K289" s="17">
        <v>7150</v>
      </c>
      <c r="L289" s="18" t="s">
        <v>21</v>
      </c>
      <c r="M289" s="19">
        <v>600</v>
      </c>
      <c r="N289" s="19">
        <f t="shared" si="26"/>
        <v>114</v>
      </c>
      <c r="O289" s="19">
        <f t="shared" si="25"/>
        <v>5105100</v>
      </c>
      <c r="P289" s="17" t="s">
        <v>31</v>
      </c>
      <c r="R289" s="31"/>
    </row>
    <row r="290" spans="1:18" x14ac:dyDescent="0.3">
      <c r="A290" s="9" t="s">
        <v>690</v>
      </c>
      <c r="B290" s="10" t="s">
        <v>695</v>
      </c>
      <c r="C290" s="11" t="s">
        <v>696</v>
      </c>
      <c r="D290" s="12">
        <v>43910</v>
      </c>
      <c r="E290" s="12">
        <v>43910</v>
      </c>
      <c r="F290" s="13">
        <v>9496200</v>
      </c>
      <c r="G290" s="14">
        <v>0</v>
      </c>
      <c r="H290" s="9" t="s">
        <v>697</v>
      </c>
      <c r="I290" s="15">
        <v>890806147</v>
      </c>
      <c r="J290" s="16" t="s">
        <v>701</v>
      </c>
      <c r="K290" s="17">
        <v>30</v>
      </c>
      <c r="L290" s="18" t="s">
        <v>21</v>
      </c>
      <c r="M290" s="19">
        <v>25000</v>
      </c>
      <c r="N290" s="19">
        <f t="shared" si="26"/>
        <v>4750</v>
      </c>
      <c r="O290" s="19">
        <f t="shared" si="25"/>
        <v>892500</v>
      </c>
      <c r="P290" s="17" t="s">
        <v>31</v>
      </c>
      <c r="R290" s="31"/>
    </row>
    <row r="291" spans="1:18" x14ac:dyDescent="0.3">
      <c r="A291" s="9" t="s">
        <v>690</v>
      </c>
      <c r="B291" s="10" t="s">
        <v>702</v>
      </c>
      <c r="C291" s="11" t="s">
        <v>703</v>
      </c>
      <c r="D291" s="12">
        <v>43923</v>
      </c>
      <c r="E291" s="12">
        <v>43923</v>
      </c>
      <c r="F291" s="13">
        <v>4307800</v>
      </c>
      <c r="G291" s="14">
        <v>0</v>
      </c>
      <c r="H291" s="9" t="s">
        <v>693</v>
      </c>
      <c r="I291" s="15">
        <v>901095058</v>
      </c>
      <c r="J291" s="16" t="s">
        <v>704</v>
      </c>
      <c r="K291" s="17">
        <v>100</v>
      </c>
      <c r="L291" s="18" t="s">
        <v>21</v>
      </c>
      <c r="M291" s="19">
        <v>35000</v>
      </c>
      <c r="N291" s="19">
        <f t="shared" si="26"/>
        <v>6650</v>
      </c>
      <c r="O291" s="19">
        <f t="shared" si="25"/>
        <v>4165000</v>
      </c>
      <c r="P291" s="17" t="s">
        <v>22</v>
      </c>
      <c r="R291" s="31"/>
    </row>
    <row r="292" spans="1:18" x14ac:dyDescent="0.3">
      <c r="A292" s="9" t="s">
        <v>690</v>
      </c>
      <c r="B292" s="10" t="s">
        <v>705</v>
      </c>
      <c r="C292" s="11" t="s">
        <v>706</v>
      </c>
      <c r="D292" s="12">
        <v>43929</v>
      </c>
      <c r="E292" s="12">
        <v>43929</v>
      </c>
      <c r="F292" s="13">
        <v>6125000</v>
      </c>
      <c r="G292" s="14">
        <v>0</v>
      </c>
      <c r="H292" s="9" t="s">
        <v>707</v>
      </c>
      <c r="I292" s="15">
        <v>1053782604</v>
      </c>
      <c r="J292" s="16" t="s">
        <v>35</v>
      </c>
      <c r="K292" s="17">
        <v>175</v>
      </c>
      <c r="L292" s="18" t="s">
        <v>36</v>
      </c>
      <c r="M292" s="19">
        <v>15000</v>
      </c>
      <c r="N292" s="19">
        <v>0</v>
      </c>
      <c r="O292" s="19">
        <f t="shared" si="25"/>
        <v>2625000</v>
      </c>
      <c r="P292" s="17" t="s">
        <v>37</v>
      </c>
      <c r="R292" s="31"/>
    </row>
    <row r="293" spans="1:18" x14ac:dyDescent="0.3">
      <c r="A293" s="9" t="s">
        <v>690</v>
      </c>
      <c r="B293" s="10" t="s">
        <v>705</v>
      </c>
      <c r="C293" s="11" t="s">
        <v>706</v>
      </c>
      <c r="D293" s="12">
        <v>43929</v>
      </c>
      <c r="E293" s="12">
        <v>43929</v>
      </c>
      <c r="F293" s="13">
        <v>6125000</v>
      </c>
      <c r="G293" s="14">
        <v>0</v>
      </c>
      <c r="H293" s="9" t="s">
        <v>707</v>
      </c>
      <c r="I293" s="15">
        <v>1053782604</v>
      </c>
      <c r="J293" s="16" t="s">
        <v>161</v>
      </c>
      <c r="K293" s="17">
        <v>225</v>
      </c>
      <c r="L293" s="18" t="s">
        <v>36</v>
      </c>
      <c r="M293" s="19">
        <v>14000</v>
      </c>
      <c r="N293" s="19">
        <v>0</v>
      </c>
      <c r="O293" s="19">
        <f t="shared" si="25"/>
        <v>3150000</v>
      </c>
      <c r="P293" s="17" t="s">
        <v>161</v>
      </c>
      <c r="R293" s="31"/>
    </row>
    <row r="294" spans="1:18" x14ac:dyDescent="0.3">
      <c r="A294" s="9" t="s">
        <v>690</v>
      </c>
      <c r="B294" s="10" t="s">
        <v>705</v>
      </c>
      <c r="C294" s="11" t="s">
        <v>706</v>
      </c>
      <c r="D294" s="12">
        <v>43929</v>
      </c>
      <c r="E294" s="12">
        <v>43929</v>
      </c>
      <c r="F294" s="13">
        <v>6125000</v>
      </c>
      <c r="G294" s="14">
        <v>0</v>
      </c>
      <c r="H294" s="9" t="s">
        <v>707</v>
      </c>
      <c r="I294" s="15">
        <v>1053782604</v>
      </c>
      <c r="J294" s="16" t="s">
        <v>161</v>
      </c>
      <c r="K294" s="17">
        <v>26.1</v>
      </c>
      <c r="L294" s="18" t="s">
        <v>36</v>
      </c>
      <c r="M294" s="19">
        <v>13409.961685823753</v>
      </c>
      <c r="N294" s="19">
        <v>0</v>
      </c>
      <c r="O294" s="19">
        <f t="shared" si="25"/>
        <v>350000</v>
      </c>
      <c r="P294" s="17" t="s">
        <v>161</v>
      </c>
      <c r="R294" s="31"/>
    </row>
    <row r="295" spans="1:18" x14ac:dyDescent="0.3">
      <c r="A295" s="9" t="s">
        <v>690</v>
      </c>
      <c r="B295" s="10" t="s">
        <v>708</v>
      </c>
      <c r="C295" s="11" t="s">
        <v>709</v>
      </c>
      <c r="D295" s="12">
        <v>43929</v>
      </c>
      <c r="E295" s="12">
        <v>43929</v>
      </c>
      <c r="F295" s="13">
        <v>6799660</v>
      </c>
      <c r="G295" s="14">
        <v>0</v>
      </c>
      <c r="H295" s="9" t="s">
        <v>710</v>
      </c>
      <c r="I295" s="15">
        <v>810001350</v>
      </c>
      <c r="J295" s="16" t="s">
        <v>711</v>
      </c>
      <c r="K295" s="17">
        <v>2000</v>
      </c>
      <c r="L295" s="18" t="s">
        <v>21</v>
      </c>
      <c r="M295" s="19">
        <v>2857</v>
      </c>
      <c r="N295" s="19">
        <f t="shared" ref="N295:N311" si="27">M295*0.19</f>
        <v>542.83000000000004</v>
      </c>
      <c r="O295" s="19">
        <f t="shared" si="25"/>
        <v>6799660</v>
      </c>
      <c r="P295" s="17" t="s">
        <v>31</v>
      </c>
      <c r="R295" s="31"/>
    </row>
    <row r="296" spans="1:18" x14ac:dyDescent="0.3">
      <c r="A296" s="9" t="s">
        <v>690</v>
      </c>
      <c r="B296" s="10" t="s">
        <v>712</v>
      </c>
      <c r="C296" s="11" t="s">
        <v>713</v>
      </c>
      <c r="D296" s="12">
        <v>43929</v>
      </c>
      <c r="E296" s="12">
        <v>43929</v>
      </c>
      <c r="F296" s="13">
        <v>15232000</v>
      </c>
      <c r="G296" s="14">
        <v>0</v>
      </c>
      <c r="H296" s="9" t="s">
        <v>714</v>
      </c>
      <c r="I296" s="15">
        <v>24319928</v>
      </c>
      <c r="J296" s="16" t="s">
        <v>715</v>
      </c>
      <c r="K296" s="17">
        <v>2</v>
      </c>
      <c r="L296" s="18" t="s">
        <v>716</v>
      </c>
      <c r="M296" s="19">
        <v>500000</v>
      </c>
      <c r="N296" s="19">
        <f t="shared" si="27"/>
        <v>95000</v>
      </c>
      <c r="O296" s="19">
        <f t="shared" si="25"/>
        <v>1190000</v>
      </c>
      <c r="P296" s="17" t="s">
        <v>570</v>
      </c>
      <c r="R296" s="31"/>
    </row>
    <row r="297" spans="1:18" x14ac:dyDescent="0.3">
      <c r="A297" s="9" t="s">
        <v>690</v>
      </c>
      <c r="B297" s="10" t="s">
        <v>712</v>
      </c>
      <c r="C297" s="11" t="s">
        <v>713</v>
      </c>
      <c r="D297" s="12">
        <v>43929</v>
      </c>
      <c r="E297" s="12">
        <v>43929</v>
      </c>
      <c r="F297" s="13">
        <v>15232000</v>
      </c>
      <c r="G297" s="14">
        <v>0</v>
      </c>
      <c r="H297" s="9" t="s">
        <v>714</v>
      </c>
      <c r="I297" s="15">
        <v>24319928</v>
      </c>
      <c r="J297" s="16" t="s">
        <v>717</v>
      </c>
      <c r="K297" s="17">
        <v>2</v>
      </c>
      <c r="L297" s="18" t="s">
        <v>716</v>
      </c>
      <c r="M297" s="19">
        <v>600000</v>
      </c>
      <c r="N297" s="19">
        <f t="shared" si="27"/>
        <v>114000</v>
      </c>
      <c r="O297" s="19">
        <f t="shared" si="25"/>
        <v>1428000</v>
      </c>
      <c r="P297" s="17" t="s">
        <v>570</v>
      </c>
      <c r="R297" s="31"/>
    </row>
    <row r="298" spans="1:18" x14ac:dyDescent="0.3">
      <c r="A298" s="9" t="s">
        <v>690</v>
      </c>
      <c r="B298" s="10" t="s">
        <v>712</v>
      </c>
      <c r="C298" s="11" t="s">
        <v>713</v>
      </c>
      <c r="D298" s="12">
        <v>43929</v>
      </c>
      <c r="E298" s="12">
        <v>43929</v>
      </c>
      <c r="F298" s="13">
        <v>15232000</v>
      </c>
      <c r="G298" s="14">
        <v>0</v>
      </c>
      <c r="H298" s="9" t="s">
        <v>714</v>
      </c>
      <c r="I298" s="15">
        <v>24319928</v>
      </c>
      <c r="J298" s="16" t="s">
        <v>718</v>
      </c>
      <c r="K298" s="17">
        <v>2</v>
      </c>
      <c r="L298" s="18" t="s">
        <v>716</v>
      </c>
      <c r="M298" s="19">
        <v>550000</v>
      </c>
      <c r="N298" s="19">
        <f t="shared" si="27"/>
        <v>104500</v>
      </c>
      <c r="O298" s="19">
        <f t="shared" si="25"/>
        <v>1309000</v>
      </c>
      <c r="P298" s="17" t="s">
        <v>570</v>
      </c>
      <c r="R298" s="31"/>
    </row>
    <row r="299" spans="1:18" x14ac:dyDescent="0.3">
      <c r="A299" s="9" t="s">
        <v>690</v>
      </c>
      <c r="B299" s="10" t="s">
        <v>712</v>
      </c>
      <c r="C299" s="11" t="s">
        <v>713</v>
      </c>
      <c r="D299" s="12">
        <v>43929</v>
      </c>
      <c r="E299" s="12">
        <v>43929</v>
      </c>
      <c r="F299" s="13">
        <v>15232000</v>
      </c>
      <c r="G299" s="14">
        <v>0</v>
      </c>
      <c r="H299" s="9" t="s">
        <v>714</v>
      </c>
      <c r="I299" s="15">
        <v>24319928</v>
      </c>
      <c r="J299" s="16" t="s">
        <v>719</v>
      </c>
      <c r="K299" s="17">
        <v>2</v>
      </c>
      <c r="L299" s="18" t="s">
        <v>716</v>
      </c>
      <c r="M299" s="19">
        <v>650000</v>
      </c>
      <c r="N299" s="19">
        <f t="shared" si="27"/>
        <v>123500</v>
      </c>
      <c r="O299" s="19">
        <f t="shared" si="25"/>
        <v>1547000</v>
      </c>
      <c r="P299" s="17" t="s">
        <v>570</v>
      </c>
      <c r="R299" s="31"/>
    </row>
    <row r="300" spans="1:18" x14ac:dyDescent="0.3">
      <c r="A300" s="9" t="s">
        <v>690</v>
      </c>
      <c r="B300" s="10" t="s">
        <v>712</v>
      </c>
      <c r="C300" s="11" t="s">
        <v>713</v>
      </c>
      <c r="D300" s="12">
        <v>43929</v>
      </c>
      <c r="E300" s="12">
        <v>43929</v>
      </c>
      <c r="F300" s="13">
        <v>15232000</v>
      </c>
      <c r="G300" s="14">
        <v>0</v>
      </c>
      <c r="H300" s="9" t="s">
        <v>714</v>
      </c>
      <c r="I300" s="15">
        <v>24319928</v>
      </c>
      <c r="J300" s="16" t="s">
        <v>720</v>
      </c>
      <c r="K300" s="17">
        <v>2</v>
      </c>
      <c r="L300" s="18" t="s">
        <v>716</v>
      </c>
      <c r="M300" s="19">
        <v>600000</v>
      </c>
      <c r="N300" s="19">
        <f t="shared" si="27"/>
        <v>114000</v>
      </c>
      <c r="O300" s="19">
        <f t="shared" si="25"/>
        <v>1428000</v>
      </c>
      <c r="P300" s="17" t="s">
        <v>570</v>
      </c>
      <c r="R300" s="31"/>
    </row>
    <row r="301" spans="1:18" x14ac:dyDescent="0.3">
      <c r="A301" s="9" t="s">
        <v>690</v>
      </c>
      <c r="B301" s="10" t="s">
        <v>712</v>
      </c>
      <c r="C301" s="11" t="s">
        <v>713</v>
      </c>
      <c r="D301" s="12">
        <v>43929</v>
      </c>
      <c r="E301" s="12">
        <v>43929</v>
      </c>
      <c r="F301" s="13">
        <v>15232000</v>
      </c>
      <c r="G301" s="14">
        <v>0</v>
      </c>
      <c r="H301" s="9" t="s">
        <v>714</v>
      </c>
      <c r="I301" s="15">
        <v>24319928</v>
      </c>
      <c r="J301" s="16" t="s">
        <v>721</v>
      </c>
      <c r="K301" s="17">
        <v>2</v>
      </c>
      <c r="L301" s="18" t="s">
        <v>716</v>
      </c>
      <c r="M301" s="19">
        <v>550000</v>
      </c>
      <c r="N301" s="19">
        <f t="shared" si="27"/>
        <v>104500</v>
      </c>
      <c r="O301" s="19">
        <f t="shared" si="25"/>
        <v>1309000</v>
      </c>
      <c r="P301" s="17" t="s">
        <v>570</v>
      </c>
      <c r="R301" s="31"/>
    </row>
    <row r="302" spans="1:18" x14ac:dyDescent="0.3">
      <c r="A302" s="9" t="s">
        <v>690</v>
      </c>
      <c r="B302" s="10" t="s">
        <v>712</v>
      </c>
      <c r="C302" s="11" t="s">
        <v>713</v>
      </c>
      <c r="D302" s="12">
        <v>43929</v>
      </c>
      <c r="E302" s="12">
        <v>43929</v>
      </c>
      <c r="F302" s="13">
        <v>15232000</v>
      </c>
      <c r="G302" s="14">
        <v>0</v>
      </c>
      <c r="H302" s="9" t="s">
        <v>714</v>
      </c>
      <c r="I302" s="15">
        <v>24319928</v>
      </c>
      <c r="J302" s="16" t="s">
        <v>722</v>
      </c>
      <c r="K302" s="17">
        <v>2</v>
      </c>
      <c r="L302" s="18" t="s">
        <v>716</v>
      </c>
      <c r="M302" s="19">
        <v>500000</v>
      </c>
      <c r="N302" s="19">
        <f t="shared" si="27"/>
        <v>95000</v>
      </c>
      <c r="O302" s="19">
        <f t="shared" si="25"/>
        <v>1190000</v>
      </c>
      <c r="P302" s="17" t="s">
        <v>570</v>
      </c>
      <c r="R302" s="31"/>
    </row>
    <row r="303" spans="1:18" x14ac:dyDescent="0.3">
      <c r="A303" s="9" t="s">
        <v>690</v>
      </c>
      <c r="B303" s="10" t="s">
        <v>712</v>
      </c>
      <c r="C303" s="11" t="s">
        <v>713</v>
      </c>
      <c r="D303" s="12">
        <v>43929</v>
      </c>
      <c r="E303" s="12">
        <v>43929</v>
      </c>
      <c r="F303" s="13">
        <v>15232000</v>
      </c>
      <c r="G303" s="14">
        <v>0</v>
      </c>
      <c r="H303" s="9" t="s">
        <v>714</v>
      </c>
      <c r="I303" s="15">
        <v>24319928</v>
      </c>
      <c r="J303" s="16" t="s">
        <v>723</v>
      </c>
      <c r="K303" s="17">
        <v>2</v>
      </c>
      <c r="L303" s="18" t="s">
        <v>716</v>
      </c>
      <c r="M303" s="19">
        <v>500000</v>
      </c>
      <c r="N303" s="19">
        <f t="shared" si="27"/>
        <v>95000</v>
      </c>
      <c r="O303" s="19">
        <f t="shared" si="25"/>
        <v>1190000</v>
      </c>
      <c r="P303" s="17" t="s">
        <v>570</v>
      </c>
      <c r="R303" s="31"/>
    </row>
    <row r="304" spans="1:18" x14ac:dyDescent="0.3">
      <c r="A304" s="9" t="s">
        <v>690</v>
      </c>
      <c r="B304" s="10" t="s">
        <v>712</v>
      </c>
      <c r="C304" s="11" t="s">
        <v>713</v>
      </c>
      <c r="D304" s="12">
        <v>43929</v>
      </c>
      <c r="E304" s="12">
        <v>43929</v>
      </c>
      <c r="F304" s="13">
        <v>15232000</v>
      </c>
      <c r="G304" s="14">
        <v>0</v>
      </c>
      <c r="H304" s="9" t="s">
        <v>714</v>
      </c>
      <c r="I304" s="15">
        <v>24319928</v>
      </c>
      <c r="J304" s="16" t="s">
        <v>724</v>
      </c>
      <c r="K304" s="17">
        <v>2</v>
      </c>
      <c r="L304" s="18" t="s">
        <v>716</v>
      </c>
      <c r="M304" s="19">
        <v>800000</v>
      </c>
      <c r="N304" s="19">
        <f t="shared" si="27"/>
        <v>152000</v>
      </c>
      <c r="O304" s="19">
        <f t="shared" si="25"/>
        <v>1904000</v>
      </c>
      <c r="P304" s="17" t="s">
        <v>570</v>
      </c>
      <c r="R304" s="31"/>
    </row>
    <row r="305" spans="1:18" x14ac:dyDescent="0.3">
      <c r="A305" s="9" t="s">
        <v>690</v>
      </c>
      <c r="B305" s="10" t="s">
        <v>712</v>
      </c>
      <c r="C305" s="11" t="s">
        <v>713</v>
      </c>
      <c r="D305" s="12">
        <v>43929</v>
      </c>
      <c r="E305" s="12">
        <v>43929</v>
      </c>
      <c r="F305" s="13">
        <v>15232000</v>
      </c>
      <c r="G305" s="14">
        <v>0</v>
      </c>
      <c r="H305" s="9" t="s">
        <v>714</v>
      </c>
      <c r="I305" s="15">
        <v>24319928</v>
      </c>
      <c r="J305" s="16" t="s">
        <v>725</v>
      </c>
      <c r="K305" s="17">
        <v>2</v>
      </c>
      <c r="L305" s="18" t="s">
        <v>716</v>
      </c>
      <c r="M305" s="19">
        <v>650000</v>
      </c>
      <c r="N305" s="19">
        <f t="shared" si="27"/>
        <v>123500</v>
      </c>
      <c r="O305" s="19">
        <f t="shared" si="25"/>
        <v>1547000</v>
      </c>
      <c r="P305" s="17" t="s">
        <v>570</v>
      </c>
      <c r="R305" s="31"/>
    </row>
    <row r="306" spans="1:18" x14ac:dyDescent="0.3">
      <c r="A306" s="9" t="s">
        <v>690</v>
      </c>
      <c r="B306" s="10" t="s">
        <v>712</v>
      </c>
      <c r="C306" s="11" t="s">
        <v>713</v>
      </c>
      <c r="D306" s="12">
        <v>43929</v>
      </c>
      <c r="E306" s="12">
        <v>43929</v>
      </c>
      <c r="F306" s="13">
        <v>15232000</v>
      </c>
      <c r="G306" s="14">
        <v>0</v>
      </c>
      <c r="H306" s="9" t="s">
        <v>714</v>
      </c>
      <c r="I306" s="15">
        <v>24319928</v>
      </c>
      <c r="J306" s="16" t="s">
        <v>726</v>
      </c>
      <c r="K306" s="17">
        <v>2</v>
      </c>
      <c r="L306" s="18" t="s">
        <v>716</v>
      </c>
      <c r="M306" s="19">
        <v>500000</v>
      </c>
      <c r="N306" s="19">
        <f t="shared" si="27"/>
        <v>95000</v>
      </c>
      <c r="O306" s="19">
        <f t="shared" si="25"/>
        <v>1190000</v>
      </c>
      <c r="P306" s="17" t="s">
        <v>570</v>
      </c>
      <c r="R306" s="31"/>
    </row>
    <row r="307" spans="1:18" x14ac:dyDescent="0.3">
      <c r="A307" s="9" t="s">
        <v>690</v>
      </c>
      <c r="B307" s="10" t="s">
        <v>712</v>
      </c>
      <c r="C307" s="11" t="s">
        <v>713</v>
      </c>
      <c r="D307" s="12">
        <v>43929</v>
      </c>
      <c r="E307" s="12">
        <v>43929</v>
      </c>
      <c r="F307" s="13">
        <v>15232000</v>
      </c>
      <c r="G307" s="14">
        <v>7616000</v>
      </c>
      <c r="H307" s="9" t="s">
        <v>714</v>
      </c>
      <c r="I307" s="15">
        <v>24319928</v>
      </c>
      <c r="J307" s="16" t="s">
        <v>727</v>
      </c>
      <c r="K307" s="17">
        <v>2</v>
      </c>
      <c r="L307" s="18" t="s">
        <v>716</v>
      </c>
      <c r="M307" s="19">
        <v>650000</v>
      </c>
      <c r="N307" s="19">
        <f t="shared" si="27"/>
        <v>123500</v>
      </c>
      <c r="O307" s="19">
        <f t="shared" si="25"/>
        <v>1547000</v>
      </c>
      <c r="P307" s="17" t="s">
        <v>570</v>
      </c>
      <c r="R307" s="31"/>
    </row>
    <row r="308" spans="1:18" x14ac:dyDescent="0.3">
      <c r="A308" s="9" t="s">
        <v>690</v>
      </c>
      <c r="B308" s="10" t="s">
        <v>712</v>
      </c>
      <c r="C308" s="11" t="s">
        <v>713</v>
      </c>
      <c r="D308" s="12">
        <v>43929</v>
      </c>
      <c r="E308" s="12">
        <v>43929</v>
      </c>
      <c r="F308" s="13">
        <v>15232000</v>
      </c>
      <c r="G308" s="14">
        <v>7616000</v>
      </c>
      <c r="H308" s="9" t="s">
        <v>714</v>
      </c>
      <c r="I308" s="15">
        <v>24319928</v>
      </c>
      <c r="J308" s="16" t="s">
        <v>728</v>
      </c>
      <c r="K308" s="17">
        <v>2</v>
      </c>
      <c r="L308" s="18" t="s">
        <v>716</v>
      </c>
      <c r="M308" s="19">
        <v>650000</v>
      </c>
      <c r="N308" s="19">
        <f t="shared" si="27"/>
        <v>123500</v>
      </c>
      <c r="O308" s="19">
        <f t="shared" si="25"/>
        <v>1547000</v>
      </c>
      <c r="P308" s="17" t="s">
        <v>570</v>
      </c>
      <c r="R308" s="31"/>
    </row>
    <row r="309" spans="1:18" x14ac:dyDescent="0.3">
      <c r="A309" s="9" t="s">
        <v>690</v>
      </c>
      <c r="B309" s="10" t="s">
        <v>712</v>
      </c>
      <c r="C309" s="11" t="s">
        <v>713</v>
      </c>
      <c r="D309" s="12">
        <v>43929</v>
      </c>
      <c r="E309" s="12">
        <v>43929</v>
      </c>
      <c r="F309" s="13">
        <v>15232000</v>
      </c>
      <c r="G309" s="14">
        <v>7616000</v>
      </c>
      <c r="H309" s="9" t="s">
        <v>714</v>
      </c>
      <c r="I309" s="15">
        <v>24319928</v>
      </c>
      <c r="J309" s="16" t="s">
        <v>729</v>
      </c>
      <c r="K309" s="17">
        <v>2</v>
      </c>
      <c r="L309" s="18" t="s">
        <v>716</v>
      </c>
      <c r="M309" s="19">
        <v>500000</v>
      </c>
      <c r="N309" s="19">
        <f t="shared" si="27"/>
        <v>95000</v>
      </c>
      <c r="O309" s="19">
        <f t="shared" si="25"/>
        <v>1190000</v>
      </c>
      <c r="P309" s="17" t="s">
        <v>570</v>
      </c>
      <c r="R309" s="31"/>
    </row>
    <row r="310" spans="1:18" x14ac:dyDescent="0.3">
      <c r="A310" s="9" t="s">
        <v>690</v>
      </c>
      <c r="B310" s="10" t="s">
        <v>712</v>
      </c>
      <c r="C310" s="11" t="s">
        <v>713</v>
      </c>
      <c r="D310" s="12">
        <v>43929</v>
      </c>
      <c r="E310" s="12">
        <v>43929</v>
      </c>
      <c r="F310" s="13">
        <v>15232000</v>
      </c>
      <c r="G310" s="14">
        <v>7616000</v>
      </c>
      <c r="H310" s="9" t="s">
        <v>714</v>
      </c>
      <c r="I310" s="15">
        <v>24319928</v>
      </c>
      <c r="J310" s="16" t="s">
        <v>730</v>
      </c>
      <c r="K310" s="17">
        <v>2</v>
      </c>
      <c r="L310" s="18" t="s">
        <v>716</v>
      </c>
      <c r="M310" s="19">
        <v>600000</v>
      </c>
      <c r="N310" s="19">
        <f t="shared" si="27"/>
        <v>114000</v>
      </c>
      <c r="O310" s="19">
        <f t="shared" si="25"/>
        <v>1428000</v>
      </c>
      <c r="P310" s="17" t="s">
        <v>570</v>
      </c>
      <c r="R310" s="31"/>
    </row>
    <row r="311" spans="1:18" x14ac:dyDescent="0.3">
      <c r="A311" s="9" t="s">
        <v>690</v>
      </c>
      <c r="B311" s="10" t="s">
        <v>712</v>
      </c>
      <c r="C311" s="11" t="s">
        <v>713</v>
      </c>
      <c r="D311" s="12">
        <v>43929</v>
      </c>
      <c r="E311" s="12">
        <v>43929</v>
      </c>
      <c r="F311" s="13">
        <v>15232000</v>
      </c>
      <c r="G311" s="14">
        <v>7616000</v>
      </c>
      <c r="H311" s="9" t="s">
        <v>714</v>
      </c>
      <c r="I311" s="15">
        <v>24319928</v>
      </c>
      <c r="J311" s="16" t="s">
        <v>731</v>
      </c>
      <c r="K311" s="17">
        <v>2</v>
      </c>
      <c r="L311" s="18" t="s">
        <v>716</v>
      </c>
      <c r="M311" s="19">
        <v>800000</v>
      </c>
      <c r="N311" s="19">
        <f t="shared" si="27"/>
        <v>152000</v>
      </c>
      <c r="O311" s="19">
        <f t="shared" si="25"/>
        <v>1904000</v>
      </c>
      <c r="P311" s="17" t="s">
        <v>570</v>
      </c>
      <c r="R311" s="31"/>
    </row>
    <row r="312" spans="1:18" x14ac:dyDescent="0.3">
      <c r="A312" s="9" t="s">
        <v>690</v>
      </c>
      <c r="B312" s="10" t="s">
        <v>2035</v>
      </c>
      <c r="C312" s="11" t="s">
        <v>732</v>
      </c>
      <c r="D312" s="12">
        <v>43972</v>
      </c>
      <c r="E312" s="12">
        <v>43972</v>
      </c>
      <c r="F312" s="13">
        <v>1760000</v>
      </c>
      <c r="G312" s="14">
        <v>0</v>
      </c>
      <c r="H312" s="9" t="s">
        <v>733</v>
      </c>
      <c r="I312" s="15">
        <v>94409574</v>
      </c>
      <c r="J312" s="16" t="s">
        <v>732</v>
      </c>
      <c r="K312" s="17">
        <v>30</v>
      </c>
      <c r="L312" s="18" t="s">
        <v>70</v>
      </c>
      <c r="M312" s="19">
        <v>54000</v>
      </c>
      <c r="N312" s="19">
        <v>0</v>
      </c>
      <c r="O312" s="19">
        <f t="shared" si="25"/>
        <v>1620000</v>
      </c>
      <c r="P312" s="17" t="s">
        <v>69</v>
      </c>
      <c r="R312" s="31"/>
    </row>
    <row r="313" spans="1:18" x14ac:dyDescent="0.3">
      <c r="A313" s="9" t="s">
        <v>690</v>
      </c>
      <c r="B313" s="10" t="s">
        <v>735</v>
      </c>
      <c r="C313" s="11" t="s">
        <v>736</v>
      </c>
      <c r="D313" s="12">
        <v>43978</v>
      </c>
      <c r="E313" s="12">
        <v>43978</v>
      </c>
      <c r="F313" s="13">
        <v>17372810</v>
      </c>
      <c r="G313" s="14">
        <v>0</v>
      </c>
      <c r="H313" s="9" t="s">
        <v>737</v>
      </c>
      <c r="I313" s="15">
        <v>900990752</v>
      </c>
      <c r="J313" s="16" t="s">
        <v>736</v>
      </c>
      <c r="K313" s="17">
        <v>13</v>
      </c>
      <c r="L313" s="18" t="s">
        <v>21</v>
      </c>
      <c r="M313" s="19">
        <v>1123000</v>
      </c>
      <c r="N313" s="19">
        <f>M313*0.19</f>
        <v>213370</v>
      </c>
      <c r="O313" s="19">
        <f t="shared" si="25"/>
        <v>17372810</v>
      </c>
      <c r="P313" s="17" t="s">
        <v>65</v>
      </c>
      <c r="R313" s="31"/>
    </row>
    <row r="314" spans="1:18" x14ac:dyDescent="0.3">
      <c r="A314" s="9" t="s">
        <v>690</v>
      </c>
      <c r="B314" s="10" t="s">
        <v>2036</v>
      </c>
      <c r="C314" s="11" t="s">
        <v>738</v>
      </c>
      <c r="D314" s="12">
        <v>43983</v>
      </c>
      <c r="E314" s="12">
        <v>43983</v>
      </c>
      <c r="F314" s="13">
        <v>2900000</v>
      </c>
      <c r="G314" s="14">
        <v>0</v>
      </c>
      <c r="H314" s="9" t="s">
        <v>60</v>
      </c>
      <c r="I314" s="15">
        <v>830001338</v>
      </c>
      <c r="J314" s="16" t="s">
        <v>739</v>
      </c>
      <c r="K314" s="17">
        <v>300</v>
      </c>
      <c r="L314" s="18" t="s">
        <v>36</v>
      </c>
      <c r="M314" s="19">
        <v>8666.6666666666661</v>
      </c>
      <c r="N314" s="19">
        <v>0</v>
      </c>
      <c r="O314" s="19">
        <f t="shared" si="25"/>
        <v>2600000</v>
      </c>
      <c r="P314" s="17" t="s">
        <v>161</v>
      </c>
      <c r="R314" s="31"/>
    </row>
    <row r="315" spans="1:18" x14ac:dyDescent="0.3">
      <c r="A315" s="9" t="s">
        <v>690</v>
      </c>
      <c r="B315" s="10" t="s">
        <v>2037</v>
      </c>
      <c r="C315" s="11" t="s">
        <v>740</v>
      </c>
      <c r="D315" s="12">
        <v>43983</v>
      </c>
      <c r="E315" s="12">
        <v>43983</v>
      </c>
      <c r="F315" s="13">
        <v>7650000</v>
      </c>
      <c r="G315" s="14">
        <v>0</v>
      </c>
      <c r="H315" s="9" t="s">
        <v>733</v>
      </c>
      <c r="I315" s="15">
        <v>94409574</v>
      </c>
      <c r="J315" s="16" t="s">
        <v>740</v>
      </c>
      <c r="K315" s="17">
        <v>500</v>
      </c>
      <c r="L315" s="18" t="s">
        <v>36</v>
      </c>
      <c r="M315" s="19">
        <v>12700</v>
      </c>
      <c r="N315" s="19">
        <v>0</v>
      </c>
      <c r="O315" s="19">
        <f t="shared" si="25"/>
        <v>6350000</v>
      </c>
      <c r="P315" s="17" t="s">
        <v>37</v>
      </c>
      <c r="R315" s="31"/>
    </row>
    <row r="316" spans="1:18" x14ac:dyDescent="0.3">
      <c r="A316" s="9" t="s">
        <v>690</v>
      </c>
      <c r="B316" s="10" t="s">
        <v>2038</v>
      </c>
      <c r="C316" s="11" t="s">
        <v>741</v>
      </c>
      <c r="D316" s="12">
        <v>43983</v>
      </c>
      <c r="E316" s="12">
        <v>43983</v>
      </c>
      <c r="F316" s="13">
        <v>12695000</v>
      </c>
      <c r="G316" s="14">
        <v>0</v>
      </c>
      <c r="H316" s="9" t="s">
        <v>318</v>
      </c>
      <c r="I316" s="15">
        <v>900353659</v>
      </c>
      <c r="J316" s="16" t="s">
        <v>741</v>
      </c>
      <c r="K316" s="17">
        <v>1000</v>
      </c>
      <c r="L316" s="18" t="s">
        <v>53</v>
      </c>
      <c r="M316" s="19">
        <v>10500</v>
      </c>
      <c r="N316" s="19">
        <f>M316*0.19</f>
        <v>1995</v>
      </c>
      <c r="O316" s="19">
        <f t="shared" si="25"/>
        <v>12495000</v>
      </c>
      <c r="P316" s="21" t="s">
        <v>656</v>
      </c>
      <c r="R316" s="31"/>
    </row>
    <row r="317" spans="1:18" x14ac:dyDescent="0.3">
      <c r="A317" s="9" t="s">
        <v>690</v>
      </c>
      <c r="B317" s="10" t="s">
        <v>742</v>
      </c>
      <c r="C317" s="11" t="s">
        <v>743</v>
      </c>
      <c r="D317" s="12">
        <v>43983</v>
      </c>
      <c r="E317" s="12">
        <v>43983</v>
      </c>
      <c r="F317" s="13">
        <v>0</v>
      </c>
      <c r="G317" s="14">
        <v>18340586</v>
      </c>
      <c r="H317" s="9" t="s">
        <v>744</v>
      </c>
      <c r="I317" s="15">
        <v>810001366</v>
      </c>
      <c r="J317" s="32" t="s">
        <v>745</v>
      </c>
      <c r="K317" s="17">
        <v>2</v>
      </c>
      <c r="L317" s="18" t="s">
        <v>44</v>
      </c>
      <c r="M317" s="19">
        <v>1834059</v>
      </c>
      <c r="N317" s="19">
        <v>0</v>
      </c>
      <c r="O317" s="19">
        <f>K317*(M317+N317)*5</f>
        <v>18340590</v>
      </c>
      <c r="P317" s="21" t="s">
        <v>102</v>
      </c>
      <c r="R317" s="31"/>
    </row>
    <row r="318" spans="1:18" x14ac:dyDescent="0.3">
      <c r="A318" s="9" t="s">
        <v>690</v>
      </c>
      <c r="B318" s="10" t="s">
        <v>742</v>
      </c>
      <c r="C318" s="11" t="s">
        <v>743</v>
      </c>
      <c r="D318" s="12">
        <v>43983</v>
      </c>
      <c r="E318" s="12">
        <v>43983</v>
      </c>
      <c r="F318" s="13">
        <v>0</v>
      </c>
      <c r="G318" s="14">
        <v>9480267</v>
      </c>
      <c r="H318" s="9" t="s">
        <v>744</v>
      </c>
      <c r="I318" s="15">
        <v>810001366</v>
      </c>
      <c r="J318" s="32" t="s">
        <v>746</v>
      </c>
      <c r="K318" s="17">
        <v>1</v>
      </c>
      <c r="L318" s="18" t="s">
        <v>44</v>
      </c>
      <c r="M318" s="19">
        <v>2106726</v>
      </c>
      <c r="N318" s="19">
        <v>0</v>
      </c>
      <c r="O318" s="19">
        <f>K318*(M318+N318)*4.5</f>
        <v>9480267</v>
      </c>
      <c r="P318" s="21" t="s">
        <v>102</v>
      </c>
      <c r="R318" s="31"/>
    </row>
    <row r="319" spans="1:18" x14ac:dyDescent="0.3">
      <c r="A319" s="9" t="s">
        <v>690</v>
      </c>
      <c r="B319" s="10" t="s">
        <v>742</v>
      </c>
      <c r="C319" s="11" t="s">
        <v>743</v>
      </c>
      <c r="D319" s="12">
        <v>43983</v>
      </c>
      <c r="E319" s="12">
        <v>43983</v>
      </c>
      <c r="F319" s="13">
        <v>0</v>
      </c>
      <c r="G319" s="14">
        <v>43843974</v>
      </c>
      <c r="H319" s="9" t="s">
        <v>744</v>
      </c>
      <c r="I319" s="15">
        <v>810001366</v>
      </c>
      <c r="J319" s="32" t="s">
        <v>747</v>
      </c>
      <c r="K319" s="17">
        <v>20</v>
      </c>
      <c r="L319" s="18" t="s">
        <v>44</v>
      </c>
      <c r="M319" s="19">
        <v>548050</v>
      </c>
      <c r="N319" s="19">
        <v>0</v>
      </c>
      <c r="O319" s="19">
        <f>K319*(M319+N319)*4</f>
        <v>43844000</v>
      </c>
      <c r="P319" s="21" t="s">
        <v>102</v>
      </c>
      <c r="R319" s="31"/>
    </row>
    <row r="320" spans="1:18" x14ac:dyDescent="0.3">
      <c r="A320" s="9" t="s">
        <v>690</v>
      </c>
      <c r="B320" s="10" t="s">
        <v>2039</v>
      </c>
      <c r="C320" s="11" t="s">
        <v>748</v>
      </c>
      <c r="D320" s="12">
        <v>43987</v>
      </c>
      <c r="E320" s="12">
        <v>43987</v>
      </c>
      <c r="F320" s="13">
        <v>4002050</v>
      </c>
      <c r="G320" s="14">
        <v>0</v>
      </c>
      <c r="H320" s="9" t="s">
        <v>749</v>
      </c>
      <c r="I320" s="15">
        <v>9009069703</v>
      </c>
      <c r="J320" s="16" t="s">
        <v>748</v>
      </c>
      <c r="K320" s="17">
        <v>225</v>
      </c>
      <c r="L320" s="18" t="s">
        <v>53</v>
      </c>
      <c r="M320" s="19">
        <v>14200</v>
      </c>
      <c r="N320" s="19">
        <f>M320*0.19</f>
        <v>2698</v>
      </c>
      <c r="O320" s="19">
        <f t="shared" si="25"/>
        <v>3802050</v>
      </c>
      <c r="P320" s="17" t="s">
        <v>54</v>
      </c>
      <c r="R320" s="31"/>
    </row>
    <row r="321" spans="1:18" x14ac:dyDescent="0.3">
      <c r="A321" s="9" t="s">
        <v>690</v>
      </c>
      <c r="B321" s="10" t="s">
        <v>2040</v>
      </c>
      <c r="C321" s="11" t="s">
        <v>751</v>
      </c>
      <c r="D321" s="12">
        <v>43987</v>
      </c>
      <c r="E321" s="12">
        <v>43987</v>
      </c>
      <c r="F321" s="13">
        <v>4010600</v>
      </c>
      <c r="G321" s="14">
        <v>0</v>
      </c>
      <c r="H321" s="9" t="s">
        <v>752</v>
      </c>
      <c r="I321" s="15">
        <v>900567130</v>
      </c>
      <c r="J321" s="16" t="s">
        <v>753</v>
      </c>
      <c r="K321" s="46">
        <v>757</v>
      </c>
      <c r="L321" s="18" t="s">
        <v>36</v>
      </c>
      <c r="M321" s="19">
        <v>4333.6856010568035</v>
      </c>
      <c r="N321" s="19">
        <v>0</v>
      </c>
      <c r="O321" s="19">
        <f t="shared" si="25"/>
        <v>3280600.0000000005</v>
      </c>
      <c r="P321" s="17" t="s">
        <v>39</v>
      </c>
      <c r="R321" s="31"/>
    </row>
    <row r="322" spans="1:18" x14ac:dyDescent="0.3">
      <c r="A322" s="9" t="s">
        <v>690</v>
      </c>
      <c r="B322" s="10" t="s">
        <v>2041</v>
      </c>
      <c r="C322" s="11" t="s">
        <v>755</v>
      </c>
      <c r="D322" s="12">
        <v>43987</v>
      </c>
      <c r="E322" s="12">
        <v>43987</v>
      </c>
      <c r="F322" s="13">
        <v>4040000</v>
      </c>
      <c r="G322" s="14">
        <v>0</v>
      </c>
      <c r="H322" s="9" t="s">
        <v>756</v>
      </c>
      <c r="I322" s="15">
        <v>900350133</v>
      </c>
      <c r="J322" s="16" t="s">
        <v>753</v>
      </c>
      <c r="K322" s="46">
        <v>150</v>
      </c>
      <c r="L322" s="18" t="s">
        <v>36</v>
      </c>
      <c r="M322" s="19">
        <v>24800</v>
      </c>
      <c r="N322" s="19">
        <v>0</v>
      </c>
      <c r="O322" s="19">
        <f t="shared" ref="O322:O387" si="28">K322*(M322+N322)</f>
        <v>3720000</v>
      </c>
      <c r="P322" s="17" t="s">
        <v>39</v>
      </c>
      <c r="R322" s="31"/>
    </row>
    <row r="323" spans="1:18" x14ac:dyDescent="0.3">
      <c r="A323" s="9" t="s">
        <v>690</v>
      </c>
      <c r="B323" s="10" t="s">
        <v>2042</v>
      </c>
      <c r="C323" s="11" t="s">
        <v>757</v>
      </c>
      <c r="D323" s="12">
        <v>43987</v>
      </c>
      <c r="E323" s="12">
        <v>43987</v>
      </c>
      <c r="F323" s="13">
        <v>3490500</v>
      </c>
      <c r="G323" s="14">
        <v>0</v>
      </c>
      <c r="H323" s="9" t="s">
        <v>758</v>
      </c>
      <c r="I323" s="15">
        <v>900791672</v>
      </c>
      <c r="J323" s="16" t="s">
        <v>757</v>
      </c>
      <c r="K323" s="17">
        <v>500</v>
      </c>
      <c r="L323" s="29" t="s">
        <v>2135</v>
      </c>
      <c r="M323" s="19">
        <v>4900</v>
      </c>
      <c r="N323" s="19">
        <f>M323*0.19</f>
        <v>931</v>
      </c>
      <c r="O323" s="19">
        <f t="shared" si="28"/>
        <v>2915500</v>
      </c>
      <c r="P323" s="21" t="s">
        <v>656</v>
      </c>
      <c r="R323" s="31"/>
    </row>
    <row r="324" spans="1:18" x14ac:dyDescent="0.3">
      <c r="A324" s="9" t="s">
        <v>690</v>
      </c>
      <c r="B324" s="10" t="s">
        <v>2043</v>
      </c>
      <c r="C324" s="11" t="s">
        <v>759</v>
      </c>
      <c r="D324" s="12">
        <v>43987</v>
      </c>
      <c r="E324" s="12">
        <v>43987</v>
      </c>
      <c r="F324" s="13">
        <v>8100000</v>
      </c>
      <c r="G324" s="14">
        <v>2600000</v>
      </c>
      <c r="H324" s="9" t="s">
        <v>760</v>
      </c>
      <c r="I324" s="15">
        <v>860062147</v>
      </c>
      <c r="J324" s="16" t="s">
        <v>759</v>
      </c>
      <c r="K324" s="17">
        <v>800</v>
      </c>
      <c r="L324" s="18" t="s">
        <v>21</v>
      </c>
      <c r="M324" s="19">
        <v>13000</v>
      </c>
      <c r="N324" s="19">
        <v>0</v>
      </c>
      <c r="O324" s="19">
        <f t="shared" si="28"/>
        <v>10400000</v>
      </c>
      <c r="P324" s="17" t="s">
        <v>75</v>
      </c>
      <c r="R324" s="31"/>
    </row>
    <row r="325" spans="1:18" x14ac:dyDescent="0.3">
      <c r="A325" s="9" t="s">
        <v>690</v>
      </c>
      <c r="B325" s="10" t="s">
        <v>761</v>
      </c>
      <c r="C325" s="11" t="s">
        <v>762</v>
      </c>
      <c r="D325" s="12">
        <v>43999</v>
      </c>
      <c r="E325" s="12">
        <v>44005</v>
      </c>
      <c r="F325" s="13">
        <v>66538000</v>
      </c>
      <c r="G325" s="14">
        <v>0</v>
      </c>
      <c r="H325" s="9" t="s">
        <v>763</v>
      </c>
      <c r="I325" s="15">
        <v>890801201</v>
      </c>
      <c r="J325" s="16" t="s">
        <v>764</v>
      </c>
      <c r="K325" s="17">
        <v>10</v>
      </c>
      <c r="L325" s="18" t="s">
        <v>44</v>
      </c>
      <c r="M325" s="19">
        <v>2217933</v>
      </c>
      <c r="N325" s="19">
        <v>0</v>
      </c>
      <c r="O325" s="19">
        <f>K325*(M325+N325)*3</f>
        <v>66537990</v>
      </c>
      <c r="P325" s="17" t="s">
        <v>45</v>
      </c>
      <c r="R325" s="31"/>
    </row>
    <row r="326" spans="1:18" x14ac:dyDescent="0.3">
      <c r="A326" s="9" t="s">
        <v>690</v>
      </c>
      <c r="B326" s="10" t="s">
        <v>1980</v>
      </c>
      <c r="C326" s="11" t="s">
        <v>765</v>
      </c>
      <c r="D326" s="12">
        <v>44005</v>
      </c>
      <c r="E326" s="12">
        <v>44005</v>
      </c>
      <c r="F326" s="13">
        <v>16964640</v>
      </c>
      <c r="G326" s="14">
        <v>0</v>
      </c>
      <c r="H326" s="9" t="s">
        <v>766</v>
      </c>
      <c r="I326" s="15">
        <v>830037278</v>
      </c>
      <c r="J326" s="16" t="s">
        <v>767</v>
      </c>
      <c r="K326" s="17">
        <v>33</v>
      </c>
      <c r="L326" s="18" t="s">
        <v>92</v>
      </c>
      <c r="M326" s="19">
        <v>108000</v>
      </c>
      <c r="N326" s="19">
        <f>M326*0.19</f>
        <v>20520</v>
      </c>
      <c r="O326" s="19">
        <f>K326*(M326+N326)*4</f>
        <v>16964640</v>
      </c>
      <c r="P326" s="17" t="s">
        <v>229</v>
      </c>
      <c r="R326" s="31"/>
    </row>
    <row r="327" spans="1:18" x14ac:dyDescent="0.3">
      <c r="A327" s="9" t="s">
        <v>690</v>
      </c>
      <c r="B327" s="10" t="s">
        <v>2044</v>
      </c>
      <c r="C327" s="11" t="s">
        <v>768</v>
      </c>
      <c r="D327" s="12">
        <v>44012</v>
      </c>
      <c r="E327" s="12">
        <v>44012</v>
      </c>
      <c r="F327" s="13">
        <v>780000</v>
      </c>
      <c r="G327" s="14">
        <v>0</v>
      </c>
      <c r="H327" s="9" t="s">
        <v>769</v>
      </c>
      <c r="I327" s="15">
        <v>900724561</v>
      </c>
      <c r="J327" s="16" t="s">
        <v>768</v>
      </c>
      <c r="K327" s="17">
        <v>6</v>
      </c>
      <c r="L327" s="18" t="s">
        <v>21</v>
      </c>
      <c r="M327" s="19">
        <v>130000</v>
      </c>
      <c r="N327" s="19">
        <v>0</v>
      </c>
      <c r="O327" s="19">
        <f t="shared" si="28"/>
        <v>780000</v>
      </c>
      <c r="P327" s="17" t="s">
        <v>185</v>
      </c>
      <c r="R327" s="31"/>
    </row>
    <row r="328" spans="1:18" x14ac:dyDescent="0.3">
      <c r="A328" s="9" t="s">
        <v>690</v>
      </c>
      <c r="B328" s="10" t="s">
        <v>770</v>
      </c>
      <c r="C328" s="11" t="s">
        <v>771</v>
      </c>
      <c r="D328" s="12">
        <v>44018</v>
      </c>
      <c r="E328" s="12">
        <v>44020</v>
      </c>
      <c r="F328" s="13">
        <v>6257500</v>
      </c>
      <c r="G328" s="14">
        <v>0</v>
      </c>
      <c r="H328" s="9" t="s">
        <v>772</v>
      </c>
      <c r="I328" s="15">
        <v>80748897</v>
      </c>
      <c r="J328" s="16" t="s">
        <v>773</v>
      </c>
      <c r="K328" s="17">
        <v>42</v>
      </c>
      <c r="L328" s="18" t="s">
        <v>21</v>
      </c>
      <c r="M328" s="19">
        <v>125000</v>
      </c>
      <c r="N328" s="19">
        <f>M328*0.19</f>
        <v>23750</v>
      </c>
      <c r="O328" s="19">
        <f t="shared" si="28"/>
        <v>6247500</v>
      </c>
      <c r="P328" s="17" t="s">
        <v>82</v>
      </c>
      <c r="R328" s="31"/>
    </row>
    <row r="329" spans="1:18" x14ac:dyDescent="0.3">
      <c r="A329" s="9" t="s">
        <v>690</v>
      </c>
      <c r="B329" s="10" t="s">
        <v>774</v>
      </c>
      <c r="C329" s="11" t="s">
        <v>775</v>
      </c>
      <c r="D329" s="12">
        <v>44020</v>
      </c>
      <c r="E329" s="12">
        <v>44021</v>
      </c>
      <c r="F329" s="13">
        <v>4425000</v>
      </c>
      <c r="G329" s="14">
        <v>1500000</v>
      </c>
      <c r="H329" s="9" t="s">
        <v>776</v>
      </c>
      <c r="I329" s="15">
        <v>900829708</v>
      </c>
      <c r="J329" s="16" t="s">
        <v>49</v>
      </c>
      <c r="K329" s="17">
        <v>2059</v>
      </c>
      <c r="L329" s="18" t="s">
        <v>21</v>
      </c>
      <c r="M329" s="19">
        <v>750</v>
      </c>
      <c r="N329" s="19">
        <v>0</v>
      </c>
      <c r="O329" s="19">
        <f t="shared" si="28"/>
        <v>1544250</v>
      </c>
      <c r="P329" s="17" t="s">
        <v>31</v>
      </c>
      <c r="R329" s="31"/>
    </row>
    <row r="330" spans="1:18" x14ac:dyDescent="0.3">
      <c r="A330" s="9" t="s">
        <v>690</v>
      </c>
      <c r="B330" s="10" t="s">
        <v>2045</v>
      </c>
      <c r="C330" s="11" t="s">
        <v>777</v>
      </c>
      <c r="D330" s="12">
        <v>44036</v>
      </c>
      <c r="E330" s="12">
        <v>44036</v>
      </c>
      <c r="F330" s="13">
        <v>8400000</v>
      </c>
      <c r="G330" s="14">
        <v>0</v>
      </c>
      <c r="H330" s="9" t="s">
        <v>778</v>
      </c>
      <c r="I330" s="15">
        <v>10003534</v>
      </c>
      <c r="J330" s="16" t="s">
        <v>779</v>
      </c>
      <c r="K330" s="17">
        <v>100</v>
      </c>
      <c r="L330" s="18" t="s">
        <v>21</v>
      </c>
      <c r="M330" s="19">
        <v>72000</v>
      </c>
      <c r="N330" s="19">
        <v>0</v>
      </c>
      <c r="O330" s="19">
        <f t="shared" si="28"/>
        <v>7200000</v>
      </c>
      <c r="P330" s="17" t="s">
        <v>82</v>
      </c>
      <c r="R330" s="31"/>
    </row>
    <row r="331" spans="1:18" x14ac:dyDescent="0.3">
      <c r="A331" s="9" t="s">
        <v>690</v>
      </c>
      <c r="B331" s="10" t="s">
        <v>2046</v>
      </c>
      <c r="C331" s="11" t="s">
        <v>780</v>
      </c>
      <c r="D331" s="12">
        <v>44046</v>
      </c>
      <c r="E331" s="12">
        <v>44046</v>
      </c>
      <c r="F331" s="13">
        <v>2310208</v>
      </c>
      <c r="G331" s="14">
        <v>0</v>
      </c>
      <c r="H331" s="9" t="s">
        <v>332</v>
      </c>
      <c r="I331" s="15">
        <v>830037946</v>
      </c>
      <c r="J331" s="16" t="s">
        <v>780</v>
      </c>
      <c r="K331" s="17">
        <v>32</v>
      </c>
      <c r="L331" s="18" t="s">
        <v>21</v>
      </c>
      <c r="M331" s="19">
        <v>72194</v>
      </c>
      <c r="N331" s="19">
        <v>0</v>
      </c>
      <c r="O331" s="19">
        <f t="shared" si="28"/>
        <v>2310208</v>
      </c>
      <c r="P331" s="17" t="s">
        <v>98</v>
      </c>
      <c r="R331" s="31"/>
    </row>
    <row r="332" spans="1:18" s="33" customFormat="1" x14ac:dyDescent="0.3">
      <c r="A332" s="33" t="s">
        <v>690</v>
      </c>
      <c r="B332" s="33" t="s">
        <v>781</v>
      </c>
      <c r="C332" s="33" t="s">
        <v>1798</v>
      </c>
      <c r="D332" s="34">
        <v>44057</v>
      </c>
      <c r="E332" s="34">
        <v>44057</v>
      </c>
      <c r="F332" s="35">
        <v>419998</v>
      </c>
      <c r="G332" s="14">
        <v>0</v>
      </c>
      <c r="H332" s="33" t="s">
        <v>782</v>
      </c>
      <c r="I332" s="36">
        <v>900207450</v>
      </c>
      <c r="J332" s="33" t="s">
        <v>1798</v>
      </c>
      <c r="K332" s="17">
        <v>10</v>
      </c>
      <c r="L332" s="37" t="s">
        <v>21</v>
      </c>
      <c r="M332" s="19">
        <v>35294</v>
      </c>
      <c r="N332" s="19">
        <f t="shared" ref="N332:N337" si="29">M332*0.19</f>
        <v>6705.86</v>
      </c>
      <c r="O332" s="19">
        <f t="shared" si="28"/>
        <v>419998.6</v>
      </c>
      <c r="P332" s="33" t="s">
        <v>783</v>
      </c>
      <c r="R332" s="31"/>
    </row>
    <row r="333" spans="1:18" s="33" customFormat="1" x14ac:dyDescent="0.3">
      <c r="A333" s="33" t="s">
        <v>690</v>
      </c>
      <c r="B333" s="33" t="s">
        <v>784</v>
      </c>
      <c r="C333" s="33" t="s">
        <v>1799</v>
      </c>
      <c r="D333" s="34">
        <v>44064</v>
      </c>
      <c r="E333" s="34">
        <v>44068</v>
      </c>
      <c r="F333" s="35">
        <v>31126711</v>
      </c>
      <c r="G333" s="14">
        <v>0</v>
      </c>
      <c r="H333" s="33" t="s">
        <v>785</v>
      </c>
      <c r="I333" s="36">
        <v>901309333</v>
      </c>
      <c r="J333" s="33" t="s">
        <v>1799</v>
      </c>
      <c r="K333" s="17">
        <v>218</v>
      </c>
      <c r="L333" s="37" t="s">
        <v>21</v>
      </c>
      <c r="M333" s="19">
        <v>119985.77981651376</v>
      </c>
      <c r="N333" s="19">
        <f t="shared" si="29"/>
        <v>22797.298165137614</v>
      </c>
      <c r="O333" s="19">
        <f t="shared" si="28"/>
        <v>31126711</v>
      </c>
      <c r="P333" s="33" t="s">
        <v>87</v>
      </c>
      <c r="R333" s="31"/>
    </row>
    <row r="334" spans="1:18" s="33" customFormat="1" x14ac:dyDescent="0.3">
      <c r="A334" s="33" t="s">
        <v>690</v>
      </c>
      <c r="B334" s="33" t="s">
        <v>786</v>
      </c>
      <c r="C334" s="33" t="s">
        <v>1800</v>
      </c>
      <c r="D334" s="34">
        <v>44069</v>
      </c>
      <c r="E334" s="34">
        <v>44070</v>
      </c>
      <c r="F334" s="35">
        <v>145876000</v>
      </c>
      <c r="G334" s="14">
        <v>0</v>
      </c>
      <c r="H334" s="33" t="s">
        <v>106</v>
      </c>
      <c r="I334" s="36">
        <v>900564459</v>
      </c>
      <c r="J334" s="33" t="s">
        <v>1862</v>
      </c>
      <c r="K334" s="17">
        <v>200</v>
      </c>
      <c r="L334" s="37" t="s">
        <v>21</v>
      </c>
      <c r="M334" s="19">
        <v>310000</v>
      </c>
      <c r="N334" s="19">
        <f t="shared" si="29"/>
        <v>58900</v>
      </c>
      <c r="O334" s="19">
        <f t="shared" si="28"/>
        <v>73780000</v>
      </c>
      <c r="P334" s="16" t="s">
        <v>119</v>
      </c>
      <c r="R334" s="31"/>
    </row>
    <row r="335" spans="1:18" s="33" customFormat="1" x14ac:dyDescent="0.3">
      <c r="A335" s="33" t="s">
        <v>690</v>
      </c>
      <c r="B335" s="33" t="s">
        <v>786</v>
      </c>
      <c r="C335" s="33" t="s">
        <v>1800</v>
      </c>
      <c r="D335" s="34">
        <v>44069</v>
      </c>
      <c r="E335" s="34">
        <v>44070</v>
      </c>
      <c r="F335" s="35">
        <v>145876000</v>
      </c>
      <c r="G335" s="14">
        <v>0</v>
      </c>
      <c r="H335" s="33" t="s">
        <v>106</v>
      </c>
      <c r="I335" s="36">
        <v>900564459</v>
      </c>
      <c r="J335" s="33" t="s">
        <v>1863</v>
      </c>
      <c r="K335" s="17">
        <v>400</v>
      </c>
      <c r="L335" s="37" t="s">
        <v>21</v>
      </c>
      <c r="M335" s="19">
        <v>146000</v>
      </c>
      <c r="N335" s="19">
        <f t="shared" si="29"/>
        <v>27740</v>
      </c>
      <c r="O335" s="19">
        <f t="shared" si="28"/>
        <v>69496000</v>
      </c>
      <c r="P335" s="17" t="s">
        <v>120</v>
      </c>
      <c r="R335" s="31"/>
    </row>
    <row r="336" spans="1:18" s="33" customFormat="1" x14ac:dyDescent="0.3">
      <c r="A336" s="33" t="s">
        <v>690</v>
      </c>
      <c r="B336" s="33" t="s">
        <v>787</v>
      </c>
      <c r="C336" s="33" t="s">
        <v>1801</v>
      </c>
      <c r="D336" s="34">
        <v>44074</v>
      </c>
      <c r="E336" s="34">
        <v>44074</v>
      </c>
      <c r="F336" s="35">
        <v>80714451</v>
      </c>
      <c r="G336" s="14">
        <v>0</v>
      </c>
      <c r="H336" s="33" t="s">
        <v>106</v>
      </c>
      <c r="I336" s="36">
        <v>900564459</v>
      </c>
      <c r="J336" s="33" t="s">
        <v>1801</v>
      </c>
      <c r="K336" s="17">
        <v>35</v>
      </c>
      <c r="L336" s="37" t="s">
        <v>21</v>
      </c>
      <c r="M336" s="19">
        <f>1793574+15000+129348</f>
        <v>1937922</v>
      </c>
      <c r="N336" s="19">
        <f t="shared" si="29"/>
        <v>368205.18</v>
      </c>
      <c r="O336" s="19">
        <f t="shared" si="28"/>
        <v>80714451.300000012</v>
      </c>
      <c r="P336" s="17" t="s">
        <v>1751</v>
      </c>
      <c r="R336" s="31"/>
    </row>
    <row r="337" spans="1:22" s="33" customFormat="1" x14ac:dyDescent="0.3">
      <c r="A337" s="33" t="s">
        <v>690</v>
      </c>
      <c r="B337" s="33" t="s">
        <v>788</v>
      </c>
      <c r="C337" s="33" t="s">
        <v>1802</v>
      </c>
      <c r="D337" s="34">
        <v>44092</v>
      </c>
      <c r="E337" s="34">
        <v>44094</v>
      </c>
      <c r="F337" s="35">
        <v>6696000</v>
      </c>
      <c r="G337" s="14">
        <v>0</v>
      </c>
      <c r="H337" s="33" t="s">
        <v>789</v>
      </c>
      <c r="I337" s="36">
        <v>900365660</v>
      </c>
      <c r="J337" s="33" t="s">
        <v>1864</v>
      </c>
      <c r="K337" s="17">
        <v>600</v>
      </c>
      <c r="L337" s="18" t="s">
        <v>53</v>
      </c>
      <c r="M337" s="19">
        <v>9378.1516666666666</v>
      </c>
      <c r="N337" s="19">
        <f t="shared" si="29"/>
        <v>1781.8488166666666</v>
      </c>
      <c r="O337" s="19">
        <f t="shared" si="28"/>
        <v>6696000.29</v>
      </c>
      <c r="P337" s="21" t="s">
        <v>656</v>
      </c>
      <c r="R337" s="31"/>
      <c r="T337" s="49"/>
    </row>
    <row r="338" spans="1:22" s="33" customFormat="1" x14ac:dyDescent="0.3">
      <c r="A338" s="33" t="s">
        <v>690</v>
      </c>
      <c r="B338" s="33" t="s">
        <v>790</v>
      </c>
      <c r="C338" s="33" t="s">
        <v>762</v>
      </c>
      <c r="D338" s="34">
        <v>44104</v>
      </c>
      <c r="E338" s="34">
        <v>44105</v>
      </c>
      <c r="F338" s="35">
        <v>55714520</v>
      </c>
      <c r="G338" s="14">
        <v>0</v>
      </c>
      <c r="H338" s="33" t="s">
        <v>791</v>
      </c>
      <c r="I338" s="36">
        <v>890801201</v>
      </c>
      <c r="J338" s="33" t="s">
        <v>1957</v>
      </c>
      <c r="K338" s="17">
        <v>3</v>
      </c>
      <c r="L338" s="18" t="s">
        <v>44</v>
      </c>
      <c r="M338" s="19">
        <v>2057200</v>
      </c>
      <c r="N338" s="19">
        <v>0</v>
      </c>
      <c r="O338" s="19">
        <f>(M338/30)*90*K338</f>
        <v>18514800</v>
      </c>
      <c r="P338" s="17" t="s">
        <v>45</v>
      </c>
      <c r="Q338" s="49"/>
      <c r="R338" s="31"/>
      <c r="S338" s="49"/>
      <c r="T338" s="49"/>
      <c r="U338" s="49"/>
      <c r="V338" s="49"/>
    </row>
    <row r="339" spans="1:22" s="33" customFormat="1" x14ac:dyDescent="0.3">
      <c r="A339" s="33" t="s">
        <v>690</v>
      </c>
      <c r="B339" s="33" t="s">
        <v>790</v>
      </c>
      <c r="C339" s="33" t="s">
        <v>762</v>
      </c>
      <c r="D339" s="34">
        <v>44104</v>
      </c>
      <c r="E339" s="34">
        <v>44105</v>
      </c>
      <c r="F339" s="35">
        <v>55714520</v>
      </c>
      <c r="G339" s="14">
        <v>0</v>
      </c>
      <c r="H339" s="33" t="s">
        <v>791</v>
      </c>
      <c r="I339" s="36">
        <v>890801201</v>
      </c>
      <c r="J339" s="33" t="s">
        <v>1956</v>
      </c>
      <c r="K339" s="17">
        <v>7</v>
      </c>
      <c r="L339" s="18" t="s">
        <v>44</v>
      </c>
      <c r="M339" s="19">
        <v>2043940.66</v>
      </c>
      <c r="N339" s="19">
        <v>0</v>
      </c>
      <c r="O339" s="19">
        <f>(M339/30)*78*7</f>
        <v>37199720.011999995</v>
      </c>
      <c r="P339" s="17" t="s">
        <v>45</v>
      </c>
      <c r="Q339" s="50"/>
      <c r="R339" s="31"/>
      <c r="S339" s="49"/>
      <c r="T339" s="49"/>
      <c r="U339" s="49"/>
      <c r="V339" s="49"/>
    </row>
    <row r="340" spans="1:22" s="33" customFormat="1" x14ac:dyDescent="0.3">
      <c r="A340" s="56" t="s">
        <v>690</v>
      </c>
      <c r="B340" s="56" t="s">
        <v>790</v>
      </c>
      <c r="C340" s="56" t="s">
        <v>762</v>
      </c>
      <c r="D340" s="57">
        <v>44104</v>
      </c>
      <c r="E340" s="57">
        <v>44105</v>
      </c>
      <c r="F340" s="58"/>
      <c r="G340" s="58">
        <v>13345300</v>
      </c>
      <c r="H340" s="56" t="s">
        <v>791</v>
      </c>
      <c r="I340" s="59">
        <v>890801201</v>
      </c>
      <c r="J340" s="56" t="s">
        <v>1955</v>
      </c>
      <c r="K340" s="17">
        <v>7</v>
      </c>
      <c r="L340" s="18" t="s">
        <v>44</v>
      </c>
      <c r="M340" s="19">
        <v>1906471.43</v>
      </c>
      <c r="N340" s="19">
        <v>0</v>
      </c>
      <c r="O340" s="19">
        <f t="shared" si="28"/>
        <v>13345300.01</v>
      </c>
      <c r="P340" s="17" t="s">
        <v>45</v>
      </c>
      <c r="R340" s="31"/>
      <c r="S340" s="49"/>
      <c r="T340" s="48"/>
    </row>
    <row r="341" spans="1:22" s="33" customFormat="1" x14ac:dyDescent="0.3">
      <c r="A341" s="33" t="s">
        <v>690</v>
      </c>
      <c r="B341" s="33" t="s">
        <v>792</v>
      </c>
      <c r="C341" s="33" t="s">
        <v>1803</v>
      </c>
      <c r="D341" s="34">
        <v>44166</v>
      </c>
      <c r="E341" s="34">
        <v>44168</v>
      </c>
      <c r="F341" s="35">
        <v>124716230</v>
      </c>
      <c r="G341" s="35">
        <v>50862790</v>
      </c>
      <c r="H341" s="33" t="s">
        <v>106</v>
      </c>
      <c r="I341" s="36">
        <v>900564459</v>
      </c>
      <c r="J341" s="33" t="s">
        <v>1865</v>
      </c>
      <c r="K341" s="17">
        <v>70</v>
      </c>
      <c r="L341" s="37" t="s">
        <v>21</v>
      </c>
      <c r="M341" s="19">
        <f>1409728+15000</f>
        <v>1424728</v>
      </c>
      <c r="N341" s="19">
        <f t="shared" ref="N341:N342" si="30">M341*0.19</f>
        <v>270698.32</v>
      </c>
      <c r="O341" s="19">
        <f t="shared" si="28"/>
        <v>118679842.40000001</v>
      </c>
      <c r="P341" s="17" t="s">
        <v>1751</v>
      </c>
      <c r="R341" s="51"/>
    </row>
    <row r="342" spans="1:22" s="33" customFormat="1" x14ac:dyDescent="0.3">
      <c r="A342" s="33" t="s">
        <v>690</v>
      </c>
      <c r="B342" s="33" t="s">
        <v>792</v>
      </c>
      <c r="C342" s="33" t="s">
        <v>1803</v>
      </c>
      <c r="D342" s="34">
        <v>44166</v>
      </c>
      <c r="E342" s="34">
        <v>44168</v>
      </c>
      <c r="F342" s="35">
        <v>124716230</v>
      </c>
      <c r="G342" s="14">
        <v>0</v>
      </c>
      <c r="H342" s="33" t="s">
        <v>106</v>
      </c>
      <c r="I342" s="36">
        <v>900564459</v>
      </c>
      <c r="J342" s="33" t="s">
        <v>1866</v>
      </c>
      <c r="K342" s="17">
        <v>15</v>
      </c>
      <c r="L342" s="37" t="s">
        <v>21</v>
      </c>
      <c r="M342" s="19">
        <f>323173+15000</f>
        <v>338173</v>
      </c>
      <c r="N342" s="19">
        <f t="shared" si="30"/>
        <v>64252.87</v>
      </c>
      <c r="O342" s="19">
        <f t="shared" si="28"/>
        <v>6036388.0499999998</v>
      </c>
      <c r="P342" s="17" t="s">
        <v>1751</v>
      </c>
      <c r="R342" s="31"/>
      <c r="U342" s="49"/>
    </row>
    <row r="343" spans="1:22" s="33" customFormat="1" x14ac:dyDescent="0.3">
      <c r="A343" s="33" t="s">
        <v>690</v>
      </c>
      <c r="B343" s="33" t="s">
        <v>793</v>
      </c>
      <c r="C343" s="33" t="s">
        <v>1804</v>
      </c>
      <c r="D343" s="34">
        <v>44147</v>
      </c>
      <c r="E343" s="34">
        <v>44147</v>
      </c>
      <c r="F343" s="35">
        <v>4459400</v>
      </c>
      <c r="G343" s="14">
        <v>0</v>
      </c>
      <c r="H343" s="33" t="s">
        <v>271</v>
      </c>
      <c r="I343" s="36">
        <v>19254921</v>
      </c>
      <c r="J343" s="33" t="s">
        <v>1867</v>
      </c>
      <c r="K343" s="17">
        <f>200*3.75</f>
        <v>750</v>
      </c>
      <c r="L343" s="29" t="s">
        <v>36</v>
      </c>
      <c r="M343" s="19">
        <v>4149</v>
      </c>
      <c r="N343" s="19">
        <v>0</v>
      </c>
      <c r="O343" s="19">
        <f t="shared" si="28"/>
        <v>3111750</v>
      </c>
      <c r="P343" s="17" t="s">
        <v>37</v>
      </c>
      <c r="R343" s="31"/>
      <c r="U343" s="49"/>
    </row>
    <row r="344" spans="1:22" s="33" customFormat="1" x14ac:dyDescent="0.3">
      <c r="A344" s="33" t="s">
        <v>690</v>
      </c>
      <c r="B344" s="33" t="s">
        <v>793</v>
      </c>
      <c r="C344" s="33" t="s">
        <v>1804</v>
      </c>
      <c r="D344" s="34">
        <v>44147</v>
      </c>
      <c r="E344" s="34">
        <v>44147</v>
      </c>
      <c r="F344" s="35">
        <v>4459400</v>
      </c>
      <c r="G344" s="14">
        <v>0</v>
      </c>
      <c r="H344" s="33" t="s">
        <v>271</v>
      </c>
      <c r="I344" s="36">
        <v>19254921</v>
      </c>
      <c r="J344" s="33" t="s">
        <v>1868</v>
      </c>
      <c r="K344" s="46">
        <f>200*3.75</f>
        <v>750</v>
      </c>
      <c r="L344" s="18" t="s">
        <v>36</v>
      </c>
      <c r="M344" s="19">
        <f>5850/3.75</f>
        <v>1560</v>
      </c>
      <c r="N344" s="19">
        <v>0</v>
      </c>
      <c r="O344" s="19">
        <f t="shared" si="28"/>
        <v>1170000</v>
      </c>
      <c r="P344" s="17" t="s">
        <v>39</v>
      </c>
      <c r="R344" s="31"/>
      <c r="U344" s="50"/>
    </row>
    <row r="345" spans="1:22" s="33" customFormat="1" x14ac:dyDescent="0.3">
      <c r="A345" s="33" t="s">
        <v>690</v>
      </c>
      <c r="B345" s="33" t="s">
        <v>794</v>
      </c>
      <c r="C345" s="33" t="s">
        <v>1805</v>
      </c>
      <c r="D345" s="34">
        <v>44147</v>
      </c>
      <c r="E345" s="34">
        <v>44147</v>
      </c>
      <c r="F345" s="35">
        <v>1512840</v>
      </c>
      <c r="G345" s="14">
        <v>0</v>
      </c>
      <c r="H345" s="33" t="s">
        <v>795</v>
      </c>
      <c r="I345" s="36">
        <v>900671732</v>
      </c>
      <c r="J345" s="33" t="s">
        <v>1869</v>
      </c>
      <c r="K345" s="17">
        <v>200</v>
      </c>
      <c r="L345" s="37" t="s">
        <v>53</v>
      </c>
      <c r="M345" s="19">
        <v>5180</v>
      </c>
      <c r="N345" s="19">
        <f>M345*0.19</f>
        <v>984.2</v>
      </c>
      <c r="O345" s="19">
        <f t="shared" si="28"/>
        <v>1232840</v>
      </c>
      <c r="P345" s="17" t="s">
        <v>54</v>
      </c>
      <c r="R345" s="31"/>
    </row>
    <row r="346" spans="1:22" s="33" customFormat="1" x14ac:dyDescent="0.3">
      <c r="A346" s="33" t="s">
        <v>690</v>
      </c>
      <c r="B346" s="33" t="s">
        <v>796</v>
      </c>
      <c r="C346" s="33" t="s">
        <v>1806</v>
      </c>
      <c r="D346" s="34">
        <v>44147</v>
      </c>
      <c r="E346" s="34">
        <v>44147</v>
      </c>
      <c r="F346" s="35">
        <v>1078700</v>
      </c>
      <c r="G346" s="14">
        <v>0</v>
      </c>
      <c r="H346" s="33" t="s">
        <v>797</v>
      </c>
      <c r="I346" s="36">
        <v>830051855</v>
      </c>
      <c r="J346" s="33" t="s">
        <v>1870</v>
      </c>
      <c r="K346" s="17">
        <v>23</v>
      </c>
      <c r="L346" s="29" t="s">
        <v>70</v>
      </c>
      <c r="M346" s="19">
        <v>40900</v>
      </c>
      <c r="N346" s="19">
        <v>0</v>
      </c>
      <c r="O346" s="19">
        <f t="shared" si="28"/>
        <v>940700</v>
      </c>
      <c r="P346" s="17" t="s">
        <v>69</v>
      </c>
      <c r="R346" s="31"/>
    </row>
    <row r="347" spans="1:22" s="33" customFormat="1" x14ac:dyDescent="0.3">
      <c r="A347" s="33" t="s">
        <v>690</v>
      </c>
      <c r="B347" s="33" t="s">
        <v>798</v>
      </c>
      <c r="C347" s="33" t="s">
        <v>1807</v>
      </c>
      <c r="D347" s="34">
        <v>44147</v>
      </c>
      <c r="E347" s="34">
        <v>44147</v>
      </c>
      <c r="F347" s="35">
        <v>614000</v>
      </c>
      <c r="G347" s="14">
        <v>0</v>
      </c>
      <c r="H347" s="33" t="s">
        <v>401</v>
      </c>
      <c r="I347" s="36">
        <v>901211678</v>
      </c>
      <c r="J347" s="33" t="s">
        <v>1871</v>
      </c>
      <c r="K347" s="17">
        <v>200</v>
      </c>
      <c r="L347" s="18" t="s">
        <v>21</v>
      </c>
      <c r="M347" s="19">
        <v>2700</v>
      </c>
      <c r="N347" s="19">
        <v>0</v>
      </c>
      <c r="O347" s="19">
        <f t="shared" si="28"/>
        <v>540000</v>
      </c>
      <c r="P347" s="17" t="s">
        <v>75</v>
      </c>
      <c r="R347" s="31"/>
    </row>
    <row r="348" spans="1:22" s="33" customFormat="1" x14ac:dyDescent="0.3">
      <c r="A348" s="33" t="s">
        <v>690</v>
      </c>
      <c r="B348" s="33" t="s">
        <v>799</v>
      </c>
      <c r="C348" s="33" t="s">
        <v>1808</v>
      </c>
      <c r="D348" s="34">
        <v>44147</v>
      </c>
      <c r="E348" s="34">
        <v>44147</v>
      </c>
      <c r="F348" s="35">
        <v>6095000</v>
      </c>
      <c r="G348" s="14">
        <v>0</v>
      </c>
      <c r="H348" s="33" t="s">
        <v>689</v>
      </c>
      <c r="I348" s="36">
        <v>52223268</v>
      </c>
      <c r="J348" s="16" t="s">
        <v>1872</v>
      </c>
      <c r="K348" s="17">
        <v>750</v>
      </c>
      <c r="L348" s="18" t="s">
        <v>36</v>
      </c>
      <c r="M348" s="19">
        <v>4793.333333333333</v>
      </c>
      <c r="N348" s="19">
        <v>0</v>
      </c>
      <c r="O348" s="19">
        <f t="shared" si="28"/>
        <v>3595000</v>
      </c>
      <c r="P348" s="38" t="s">
        <v>161</v>
      </c>
      <c r="R348" s="31"/>
    </row>
    <row r="349" spans="1:22" s="33" customFormat="1" x14ac:dyDescent="0.3">
      <c r="A349" s="33" t="s">
        <v>690</v>
      </c>
      <c r="B349" s="33" t="s">
        <v>800</v>
      </c>
      <c r="C349" s="33" t="s">
        <v>1809</v>
      </c>
      <c r="D349" s="34">
        <v>44174</v>
      </c>
      <c r="E349" s="34">
        <v>44174</v>
      </c>
      <c r="F349" s="35">
        <v>6514480</v>
      </c>
      <c r="G349" s="14">
        <v>0</v>
      </c>
      <c r="H349" s="33" t="s">
        <v>801</v>
      </c>
      <c r="I349" s="36">
        <v>901194503</v>
      </c>
      <c r="J349" s="33" t="s">
        <v>1809</v>
      </c>
      <c r="K349" s="17">
        <v>28000</v>
      </c>
      <c r="L349" s="18" t="s">
        <v>21</v>
      </c>
      <c r="M349" s="19">
        <v>232.66</v>
      </c>
      <c r="N349" s="19">
        <v>0</v>
      </c>
      <c r="O349" s="19">
        <f t="shared" si="28"/>
        <v>6514480</v>
      </c>
      <c r="P349" s="17" t="s">
        <v>31</v>
      </c>
      <c r="R349" s="31"/>
    </row>
    <row r="350" spans="1:22" s="33" customFormat="1" x14ac:dyDescent="0.3">
      <c r="A350" s="33" t="s">
        <v>690</v>
      </c>
      <c r="B350" s="33" t="s">
        <v>802</v>
      </c>
      <c r="C350" s="33" t="s">
        <v>1810</v>
      </c>
      <c r="D350" s="34">
        <v>44181</v>
      </c>
      <c r="E350" s="34">
        <v>44181</v>
      </c>
      <c r="F350" s="35">
        <v>15000000</v>
      </c>
      <c r="G350" s="14">
        <v>0</v>
      </c>
      <c r="H350" s="33" t="s">
        <v>803</v>
      </c>
      <c r="I350" s="36">
        <v>24319928</v>
      </c>
      <c r="J350" s="33" t="s">
        <v>1873</v>
      </c>
      <c r="K350" s="17">
        <v>29</v>
      </c>
      <c r="L350" s="29" t="s">
        <v>716</v>
      </c>
      <c r="M350" s="19">
        <v>434656.55</v>
      </c>
      <c r="N350" s="19">
        <f t="shared" ref="N350:N352" si="31">M350*0.19</f>
        <v>82584.744500000001</v>
      </c>
      <c r="O350" s="19">
        <f t="shared" si="28"/>
        <v>14999997.540499998</v>
      </c>
      <c r="P350" s="17" t="s">
        <v>570</v>
      </c>
      <c r="R350" s="31"/>
    </row>
    <row r="351" spans="1:22" s="33" customFormat="1" x14ac:dyDescent="0.3">
      <c r="A351" s="33" t="s">
        <v>690</v>
      </c>
      <c r="B351" s="33" t="s">
        <v>804</v>
      </c>
      <c r="C351" s="33" t="s">
        <v>1811</v>
      </c>
      <c r="D351" s="34">
        <v>44186</v>
      </c>
      <c r="E351" s="34">
        <v>44186</v>
      </c>
      <c r="F351" s="35">
        <v>15191150</v>
      </c>
      <c r="G351" s="14">
        <v>0</v>
      </c>
      <c r="H351" s="33" t="s">
        <v>110</v>
      </c>
      <c r="I351" s="36">
        <v>900353659</v>
      </c>
      <c r="J351" s="33" t="s">
        <v>1874</v>
      </c>
      <c r="K351" s="17">
        <v>500</v>
      </c>
      <c r="L351" s="18" t="s">
        <v>53</v>
      </c>
      <c r="M351" s="19">
        <v>8800</v>
      </c>
      <c r="N351" s="19">
        <f t="shared" si="31"/>
        <v>1672</v>
      </c>
      <c r="O351" s="19">
        <f t="shared" si="28"/>
        <v>5236000</v>
      </c>
      <c r="P351" s="21" t="s">
        <v>656</v>
      </c>
      <c r="R351" s="31"/>
    </row>
    <row r="352" spans="1:22" s="33" customFormat="1" x14ac:dyDescent="0.3">
      <c r="A352" s="33" t="s">
        <v>690</v>
      </c>
      <c r="B352" s="33" t="s">
        <v>804</v>
      </c>
      <c r="C352" s="33" t="s">
        <v>1811</v>
      </c>
      <c r="D352" s="34">
        <v>44186</v>
      </c>
      <c r="E352" s="34">
        <v>44186</v>
      </c>
      <c r="F352" s="35">
        <v>15191150</v>
      </c>
      <c r="G352" s="14">
        <v>0</v>
      </c>
      <c r="H352" s="33" t="s">
        <v>110</v>
      </c>
      <c r="I352" s="36">
        <v>900353659</v>
      </c>
      <c r="J352" s="33" t="s">
        <v>1875</v>
      </c>
      <c r="K352" s="17">
        <v>100</v>
      </c>
      <c r="L352" s="37" t="s">
        <v>21</v>
      </c>
      <c r="M352" s="19">
        <v>66850</v>
      </c>
      <c r="N352" s="19">
        <f t="shared" si="31"/>
        <v>12701.5</v>
      </c>
      <c r="O352" s="19">
        <f t="shared" si="28"/>
        <v>7955150</v>
      </c>
      <c r="P352" s="17" t="s">
        <v>82</v>
      </c>
      <c r="R352" s="31"/>
    </row>
    <row r="353" spans="1:18" s="33" customFormat="1" x14ac:dyDescent="0.3">
      <c r="A353" s="33" t="s">
        <v>690</v>
      </c>
      <c r="B353" s="33" t="s">
        <v>805</v>
      </c>
      <c r="C353" s="33" t="s">
        <v>1812</v>
      </c>
      <c r="D353" s="34">
        <v>44186</v>
      </c>
      <c r="E353" s="34">
        <v>44186</v>
      </c>
      <c r="F353" s="35">
        <v>7779980.4199999999</v>
      </c>
      <c r="G353" s="14">
        <v>0</v>
      </c>
      <c r="H353" s="33" t="s">
        <v>158</v>
      </c>
      <c r="I353" s="36">
        <v>830001338</v>
      </c>
      <c r="J353" s="33" t="s">
        <v>1872</v>
      </c>
      <c r="K353" s="17">
        <v>375</v>
      </c>
      <c r="L353" s="37" t="s">
        <v>36</v>
      </c>
      <c r="M353" s="19">
        <v>5000</v>
      </c>
      <c r="N353" s="19">
        <v>0</v>
      </c>
      <c r="O353" s="19">
        <f t="shared" si="28"/>
        <v>1875000</v>
      </c>
      <c r="P353" s="38" t="s">
        <v>161</v>
      </c>
      <c r="R353" s="31"/>
    </row>
    <row r="354" spans="1:18" s="33" customFormat="1" x14ac:dyDescent="0.3">
      <c r="A354" s="33" t="s">
        <v>690</v>
      </c>
      <c r="B354" s="33" t="s">
        <v>805</v>
      </c>
      <c r="C354" s="33" t="s">
        <v>1812</v>
      </c>
      <c r="D354" s="34">
        <v>44186</v>
      </c>
      <c r="E354" s="34">
        <v>44186</v>
      </c>
      <c r="F354" s="35">
        <v>7779980.4199999999</v>
      </c>
      <c r="G354" s="14">
        <v>0</v>
      </c>
      <c r="H354" s="33" t="s">
        <v>158</v>
      </c>
      <c r="I354" s="36">
        <v>830001338</v>
      </c>
      <c r="J354" s="33" t="s">
        <v>1876</v>
      </c>
      <c r="K354" s="17">
        <v>500</v>
      </c>
      <c r="L354" s="37" t="s">
        <v>36</v>
      </c>
      <c r="M354" s="19">
        <v>4450</v>
      </c>
      <c r="N354" s="19">
        <v>0</v>
      </c>
      <c r="O354" s="19">
        <f t="shared" si="28"/>
        <v>2225000</v>
      </c>
      <c r="P354" s="17" t="s">
        <v>37</v>
      </c>
      <c r="R354" s="31"/>
    </row>
    <row r="355" spans="1:18" s="33" customFormat="1" x14ac:dyDescent="0.3">
      <c r="A355" s="33" t="s">
        <v>690</v>
      </c>
      <c r="B355" s="33" t="s">
        <v>805</v>
      </c>
      <c r="C355" s="33" t="s">
        <v>1812</v>
      </c>
      <c r="D355" s="34">
        <v>44186</v>
      </c>
      <c r="E355" s="34">
        <v>44186</v>
      </c>
      <c r="F355" s="35">
        <v>7779980.4199999999</v>
      </c>
      <c r="G355" s="14">
        <v>0</v>
      </c>
      <c r="H355" s="33" t="s">
        <v>158</v>
      </c>
      <c r="I355" s="36">
        <v>830001338</v>
      </c>
      <c r="J355" s="33" t="s">
        <v>1874</v>
      </c>
      <c r="K355" s="17">
        <v>249</v>
      </c>
      <c r="L355" s="18" t="s">
        <v>53</v>
      </c>
      <c r="M355" s="19">
        <v>9382</v>
      </c>
      <c r="N355" s="19">
        <f t="shared" ref="N355:N356" si="32">M355*0.19</f>
        <v>1782.58</v>
      </c>
      <c r="O355" s="19">
        <f t="shared" si="28"/>
        <v>2779980.42</v>
      </c>
      <c r="P355" s="21" t="s">
        <v>656</v>
      </c>
      <c r="R355" s="31"/>
    </row>
    <row r="356" spans="1:18" s="33" customFormat="1" x14ac:dyDescent="0.3">
      <c r="A356" s="33" t="s">
        <v>690</v>
      </c>
      <c r="B356" s="33" t="s">
        <v>806</v>
      </c>
      <c r="C356" s="33" t="s">
        <v>1813</v>
      </c>
      <c r="D356" s="34">
        <v>44186</v>
      </c>
      <c r="E356" s="34">
        <v>44186</v>
      </c>
      <c r="F356" s="35">
        <v>10167457.199999999</v>
      </c>
      <c r="G356" s="14">
        <v>0</v>
      </c>
      <c r="H356" s="33" t="s">
        <v>356</v>
      </c>
      <c r="I356" s="36">
        <v>900300970</v>
      </c>
      <c r="J356" s="33" t="s">
        <v>1877</v>
      </c>
      <c r="K356" s="17">
        <v>120</v>
      </c>
      <c r="L356" s="39" t="s">
        <v>21</v>
      </c>
      <c r="M356" s="19">
        <v>66999</v>
      </c>
      <c r="N356" s="19">
        <f t="shared" si="32"/>
        <v>12729.81</v>
      </c>
      <c r="O356" s="19">
        <f t="shared" si="28"/>
        <v>9567457.1999999993</v>
      </c>
      <c r="P356" s="17" t="s">
        <v>82</v>
      </c>
      <c r="R356" s="31"/>
    </row>
    <row r="357" spans="1:18" s="33" customFormat="1" x14ac:dyDescent="0.3">
      <c r="A357" s="33" t="s">
        <v>690</v>
      </c>
      <c r="B357" s="33" t="s">
        <v>807</v>
      </c>
      <c r="C357" s="33" t="s">
        <v>1814</v>
      </c>
      <c r="D357" s="34">
        <v>44186</v>
      </c>
      <c r="E357" s="34">
        <v>44186</v>
      </c>
      <c r="F357" s="35">
        <v>4852000</v>
      </c>
      <c r="G357" s="14">
        <v>0</v>
      </c>
      <c r="H357" s="33" t="s">
        <v>401</v>
      </c>
      <c r="I357" s="36">
        <v>901211678</v>
      </c>
      <c r="J357" s="33" t="s">
        <v>1870</v>
      </c>
      <c r="K357" s="17">
        <v>80</v>
      </c>
      <c r="L357" s="29" t="s">
        <v>70</v>
      </c>
      <c r="M357" s="19">
        <v>56900</v>
      </c>
      <c r="N357" s="19">
        <v>0</v>
      </c>
      <c r="O357" s="19">
        <f t="shared" si="28"/>
        <v>4552000</v>
      </c>
      <c r="P357" s="17" t="s">
        <v>69</v>
      </c>
      <c r="R357" s="31"/>
    </row>
    <row r="358" spans="1:18" s="33" customFormat="1" x14ac:dyDescent="0.3">
      <c r="A358" s="33" t="s">
        <v>690</v>
      </c>
      <c r="B358" s="33" t="s">
        <v>808</v>
      </c>
      <c r="C358" s="33" t="s">
        <v>1815</v>
      </c>
      <c r="D358" s="34">
        <v>44186</v>
      </c>
      <c r="E358" s="34">
        <v>44186</v>
      </c>
      <c r="F358" s="35">
        <v>1120000</v>
      </c>
      <c r="G358" s="14">
        <v>0</v>
      </c>
      <c r="H358" s="33" t="s">
        <v>280</v>
      </c>
      <c r="I358" s="36">
        <v>900505419</v>
      </c>
      <c r="J358" s="33" t="s">
        <v>1815</v>
      </c>
      <c r="K358" s="17">
        <v>22</v>
      </c>
      <c r="L358" s="40" t="s">
        <v>21</v>
      </c>
      <c r="M358" s="19">
        <v>45000</v>
      </c>
      <c r="N358" s="19">
        <v>0</v>
      </c>
      <c r="O358" s="19">
        <f t="shared" si="28"/>
        <v>990000</v>
      </c>
      <c r="P358" s="17" t="s">
        <v>185</v>
      </c>
      <c r="R358" s="31"/>
    </row>
    <row r="359" spans="1:18" x14ac:dyDescent="0.3">
      <c r="A359" s="9" t="s">
        <v>809</v>
      </c>
      <c r="B359" s="10" t="s">
        <v>810</v>
      </c>
      <c r="C359" s="11" t="s">
        <v>811</v>
      </c>
      <c r="D359" s="12">
        <v>43959</v>
      </c>
      <c r="E359" s="12">
        <v>43963</v>
      </c>
      <c r="F359" s="13">
        <v>0</v>
      </c>
      <c r="G359" s="14">
        <v>20220000</v>
      </c>
      <c r="H359" s="9" t="s">
        <v>812</v>
      </c>
      <c r="I359" s="15">
        <v>900429897</v>
      </c>
      <c r="J359" s="16" t="s">
        <v>813</v>
      </c>
      <c r="K359" s="17">
        <v>1200</v>
      </c>
      <c r="L359" s="18" t="s">
        <v>36</v>
      </c>
      <c r="M359" s="19">
        <v>16850</v>
      </c>
      <c r="N359" s="19">
        <v>0</v>
      </c>
      <c r="O359" s="19">
        <f t="shared" si="28"/>
        <v>20220000</v>
      </c>
      <c r="P359" s="17" t="s">
        <v>37</v>
      </c>
      <c r="R359" s="31"/>
    </row>
    <row r="360" spans="1:18" x14ac:dyDescent="0.3">
      <c r="A360" s="9" t="s">
        <v>809</v>
      </c>
      <c r="B360" s="10" t="s">
        <v>814</v>
      </c>
      <c r="C360" s="11" t="s">
        <v>815</v>
      </c>
      <c r="D360" s="12">
        <v>43971</v>
      </c>
      <c r="E360" s="12">
        <v>43972</v>
      </c>
      <c r="F360" s="13">
        <v>202984642</v>
      </c>
      <c r="G360" s="14">
        <v>0</v>
      </c>
      <c r="H360" s="9" t="s">
        <v>816</v>
      </c>
      <c r="I360" s="15">
        <v>800004711</v>
      </c>
      <c r="J360" s="16" t="s">
        <v>817</v>
      </c>
      <c r="K360" s="17">
        <v>11148</v>
      </c>
      <c r="L360" s="18" t="s">
        <v>53</v>
      </c>
      <c r="M360" s="19">
        <v>15301</v>
      </c>
      <c r="N360" s="19">
        <f>M360*0.19</f>
        <v>2907.19</v>
      </c>
      <c r="O360" s="19">
        <f t="shared" si="28"/>
        <v>202984902.11999997</v>
      </c>
      <c r="P360" s="21" t="s">
        <v>656</v>
      </c>
      <c r="R360" s="31"/>
    </row>
    <row r="361" spans="1:18" x14ac:dyDescent="0.3">
      <c r="A361" s="9" t="s">
        <v>809</v>
      </c>
      <c r="B361" s="10" t="s">
        <v>818</v>
      </c>
      <c r="C361" s="11" t="s">
        <v>819</v>
      </c>
      <c r="D361" s="12">
        <v>43958</v>
      </c>
      <c r="E361" s="12">
        <v>43962</v>
      </c>
      <c r="F361" s="13">
        <v>0</v>
      </c>
      <c r="G361" s="14">
        <v>11965845</v>
      </c>
      <c r="H361" s="9" t="s">
        <v>820</v>
      </c>
      <c r="I361" s="15">
        <v>800147520</v>
      </c>
      <c r="J361" s="16" t="s">
        <v>821</v>
      </c>
      <c r="K361" s="17">
        <v>38</v>
      </c>
      <c r="L361" s="18" t="s">
        <v>21</v>
      </c>
      <c r="M361" s="19">
        <v>300000</v>
      </c>
      <c r="N361" s="19">
        <v>0</v>
      </c>
      <c r="O361" s="19">
        <f t="shared" si="28"/>
        <v>11400000</v>
      </c>
      <c r="P361" s="17" t="s">
        <v>185</v>
      </c>
      <c r="R361" s="31"/>
    </row>
    <row r="362" spans="1:18" x14ac:dyDescent="0.3">
      <c r="A362" s="9" t="s">
        <v>809</v>
      </c>
      <c r="B362" s="10" t="s">
        <v>818</v>
      </c>
      <c r="C362" s="11" t="s">
        <v>819</v>
      </c>
      <c r="D362" s="12">
        <v>43958</v>
      </c>
      <c r="E362" s="12">
        <v>43962</v>
      </c>
      <c r="F362" s="13">
        <v>0</v>
      </c>
      <c r="G362" s="14">
        <v>11965845</v>
      </c>
      <c r="H362" s="9" t="s">
        <v>820</v>
      </c>
      <c r="I362" s="15">
        <v>800147520</v>
      </c>
      <c r="J362" s="16" t="s">
        <v>822</v>
      </c>
      <c r="K362" s="17">
        <v>317</v>
      </c>
      <c r="L362" s="18" t="s">
        <v>21</v>
      </c>
      <c r="M362" s="19">
        <v>1500</v>
      </c>
      <c r="N362" s="19">
        <f>M362*0.19</f>
        <v>285</v>
      </c>
      <c r="O362" s="19">
        <f t="shared" si="28"/>
        <v>565845</v>
      </c>
      <c r="P362" s="17" t="s">
        <v>334</v>
      </c>
      <c r="R362" s="31"/>
    </row>
    <row r="363" spans="1:18" x14ac:dyDescent="0.3">
      <c r="A363" s="9" t="s">
        <v>809</v>
      </c>
      <c r="B363" s="10" t="s">
        <v>823</v>
      </c>
      <c r="C363" s="11" t="s">
        <v>824</v>
      </c>
      <c r="D363" s="12">
        <v>43994</v>
      </c>
      <c r="E363" s="12">
        <v>43998</v>
      </c>
      <c r="F363" s="13">
        <v>36000000</v>
      </c>
      <c r="G363" s="14">
        <v>0</v>
      </c>
      <c r="H363" s="9" t="s">
        <v>825</v>
      </c>
      <c r="I363" s="15">
        <v>900673010</v>
      </c>
      <c r="J363" s="16" t="s">
        <v>826</v>
      </c>
      <c r="K363" s="17">
        <v>4000</v>
      </c>
      <c r="L363" s="18" t="s">
        <v>21</v>
      </c>
      <c r="M363" s="19">
        <v>9000</v>
      </c>
      <c r="N363" s="19">
        <v>0</v>
      </c>
      <c r="O363" s="19">
        <f t="shared" si="28"/>
        <v>36000000</v>
      </c>
      <c r="P363" s="17" t="s">
        <v>75</v>
      </c>
      <c r="R363" s="31"/>
    </row>
    <row r="364" spans="1:18" x14ac:dyDescent="0.3">
      <c r="A364" s="9" t="s">
        <v>809</v>
      </c>
      <c r="B364" s="10" t="s">
        <v>827</v>
      </c>
      <c r="C364" s="11" t="s">
        <v>828</v>
      </c>
      <c r="D364" s="12">
        <v>43994</v>
      </c>
      <c r="E364" s="12">
        <v>43998</v>
      </c>
      <c r="F364" s="13">
        <v>24617210</v>
      </c>
      <c r="G364" s="14">
        <v>0</v>
      </c>
      <c r="H364" s="9" t="s">
        <v>829</v>
      </c>
      <c r="I364" s="15">
        <v>811036638</v>
      </c>
      <c r="J364" s="16" t="s">
        <v>830</v>
      </c>
      <c r="K364" s="17">
        <v>330</v>
      </c>
      <c r="L364" s="18" t="s">
        <v>21</v>
      </c>
      <c r="M364" s="19">
        <v>7022</v>
      </c>
      <c r="N364" s="19">
        <f t="shared" ref="N364:N379" si="33">M364*0.19</f>
        <v>1334.18</v>
      </c>
      <c r="O364" s="19">
        <f t="shared" si="28"/>
        <v>2757539.4</v>
      </c>
      <c r="P364" s="17" t="s">
        <v>257</v>
      </c>
      <c r="R364" s="31"/>
    </row>
    <row r="365" spans="1:18" x14ac:dyDescent="0.3">
      <c r="A365" s="9" t="s">
        <v>809</v>
      </c>
      <c r="B365" s="10" t="s">
        <v>827</v>
      </c>
      <c r="C365" s="11" t="s">
        <v>828</v>
      </c>
      <c r="D365" s="12">
        <v>43994</v>
      </c>
      <c r="E365" s="12">
        <v>43998</v>
      </c>
      <c r="F365" s="13">
        <v>24617210</v>
      </c>
      <c r="G365" s="14">
        <v>0</v>
      </c>
      <c r="H365" s="9" t="s">
        <v>829</v>
      </c>
      <c r="I365" s="15">
        <v>811036638</v>
      </c>
      <c r="J365" s="16" t="s">
        <v>831</v>
      </c>
      <c r="K365" s="17">
        <v>330</v>
      </c>
      <c r="L365" s="18" t="s">
        <v>21</v>
      </c>
      <c r="M365" s="19">
        <v>3634</v>
      </c>
      <c r="N365" s="19">
        <f t="shared" si="33"/>
        <v>690.46</v>
      </c>
      <c r="O365" s="19">
        <f t="shared" si="28"/>
        <v>1427071.8</v>
      </c>
      <c r="P365" s="17" t="s">
        <v>257</v>
      </c>
      <c r="R365" s="31"/>
    </row>
    <row r="366" spans="1:18" x14ac:dyDescent="0.3">
      <c r="A366" s="9" t="s">
        <v>809</v>
      </c>
      <c r="B366" s="10" t="s">
        <v>827</v>
      </c>
      <c r="C366" s="11" t="s">
        <v>828</v>
      </c>
      <c r="D366" s="12">
        <v>43994</v>
      </c>
      <c r="E366" s="12">
        <v>43998</v>
      </c>
      <c r="F366" s="13">
        <v>24617210</v>
      </c>
      <c r="G366" s="14">
        <v>0</v>
      </c>
      <c r="H366" s="9" t="s">
        <v>829</v>
      </c>
      <c r="I366" s="15">
        <v>811036638</v>
      </c>
      <c r="J366" s="16" t="s">
        <v>832</v>
      </c>
      <c r="K366" s="17">
        <v>320</v>
      </c>
      <c r="L366" s="18" t="s">
        <v>21</v>
      </c>
      <c r="M366" s="19">
        <v>3634</v>
      </c>
      <c r="N366" s="19">
        <f t="shared" si="33"/>
        <v>690.46</v>
      </c>
      <c r="O366" s="19">
        <f t="shared" si="28"/>
        <v>1383827.2</v>
      </c>
      <c r="P366" s="17" t="s">
        <v>257</v>
      </c>
      <c r="R366" s="31"/>
    </row>
    <row r="367" spans="1:18" x14ac:dyDescent="0.3">
      <c r="A367" s="9" t="s">
        <v>809</v>
      </c>
      <c r="B367" s="10" t="s">
        <v>827</v>
      </c>
      <c r="C367" s="11" t="s">
        <v>828</v>
      </c>
      <c r="D367" s="12">
        <v>43994</v>
      </c>
      <c r="E367" s="12">
        <v>43998</v>
      </c>
      <c r="F367" s="13">
        <v>24617210</v>
      </c>
      <c r="G367" s="14">
        <v>0</v>
      </c>
      <c r="H367" s="9" t="s">
        <v>829</v>
      </c>
      <c r="I367" s="15">
        <v>811036638</v>
      </c>
      <c r="J367" s="16" t="s">
        <v>833</v>
      </c>
      <c r="K367" s="17">
        <v>320</v>
      </c>
      <c r="L367" s="18" t="s">
        <v>21</v>
      </c>
      <c r="M367" s="19">
        <v>3634</v>
      </c>
      <c r="N367" s="19">
        <f t="shared" si="33"/>
        <v>690.46</v>
      </c>
      <c r="O367" s="19">
        <f t="shared" si="28"/>
        <v>1383827.2</v>
      </c>
      <c r="P367" s="17" t="s">
        <v>257</v>
      </c>
      <c r="R367" s="31"/>
    </row>
    <row r="368" spans="1:18" x14ac:dyDescent="0.3">
      <c r="A368" s="9" t="s">
        <v>809</v>
      </c>
      <c r="B368" s="10" t="s">
        <v>827</v>
      </c>
      <c r="C368" s="11" t="s">
        <v>828</v>
      </c>
      <c r="D368" s="12">
        <v>43994</v>
      </c>
      <c r="E368" s="12">
        <v>43998</v>
      </c>
      <c r="F368" s="13">
        <v>24617210</v>
      </c>
      <c r="G368" s="14">
        <v>0</v>
      </c>
      <c r="H368" s="9" t="s">
        <v>829</v>
      </c>
      <c r="I368" s="15">
        <v>811036638</v>
      </c>
      <c r="J368" s="16" t="s">
        <v>834</v>
      </c>
      <c r="K368" s="17">
        <v>320</v>
      </c>
      <c r="L368" s="18" t="s">
        <v>21</v>
      </c>
      <c r="M368" s="19">
        <v>3634</v>
      </c>
      <c r="N368" s="19">
        <f t="shared" si="33"/>
        <v>690.46</v>
      </c>
      <c r="O368" s="19">
        <f t="shared" si="28"/>
        <v>1383827.2</v>
      </c>
      <c r="P368" s="17" t="s">
        <v>257</v>
      </c>
      <c r="R368" s="31"/>
    </row>
    <row r="369" spans="1:18" x14ac:dyDescent="0.3">
      <c r="A369" s="9" t="s">
        <v>809</v>
      </c>
      <c r="B369" s="10" t="s">
        <v>827</v>
      </c>
      <c r="C369" s="11" t="s">
        <v>828</v>
      </c>
      <c r="D369" s="12">
        <v>43994</v>
      </c>
      <c r="E369" s="12">
        <v>43998</v>
      </c>
      <c r="F369" s="13">
        <v>24617210</v>
      </c>
      <c r="G369" s="14">
        <v>0</v>
      </c>
      <c r="H369" s="9" t="s">
        <v>829</v>
      </c>
      <c r="I369" s="15">
        <v>811036638</v>
      </c>
      <c r="J369" s="16" t="s">
        <v>835</v>
      </c>
      <c r="K369" s="17">
        <v>320</v>
      </c>
      <c r="L369" s="18" t="s">
        <v>21</v>
      </c>
      <c r="M369" s="19">
        <v>3634</v>
      </c>
      <c r="N369" s="19">
        <f t="shared" si="33"/>
        <v>690.46</v>
      </c>
      <c r="O369" s="19">
        <f t="shared" si="28"/>
        <v>1383827.2</v>
      </c>
      <c r="P369" s="17" t="s">
        <v>257</v>
      </c>
      <c r="R369" s="31"/>
    </row>
    <row r="370" spans="1:18" x14ac:dyDescent="0.3">
      <c r="A370" s="9" t="s">
        <v>809</v>
      </c>
      <c r="B370" s="10" t="s">
        <v>827</v>
      </c>
      <c r="C370" s="11" t="s">
        <v>828</v>
      </c>
      <c r="D370" s="12">
        <v>43994</v>
      </c>
      <c r="E370" s="12">
        <v>43998</v>
      </c>
      <c r="F370" s="13">
        <v>24617210</v>
      </c>
      <c r="G370" s="14">
        <v>0</v>
      </c>
      <c r="H370" s="9" t="s">
        <v>829</v>
      </c>
      <c r="I370" s="15">
        <v>811036638</v>
      </c>
      <c r="J370" s="16" t="s">
        <v>836</v>
      </c>
      <c r="K370" s="17">
        <v>320</v>
      </c>
      <c r="L370" s="18" t="s">
        <v>21</v>
      </c>
      <c r="M370" s="19">
        <v>3634</v>
      </c>
      <c r="N370" s="19">
        <f t="shared" si="33"/>
        <v>690.46</v>
      </c>
      <c r="O370" s="19">
        <f t="shared" si="28"/>
        <v>1383827.2</v>
      </c>
      <c r="P370" s="17" t="s">
        <v>257</v>
      </c>
      <c r="R370" s="31"/>
    </row>
    <row r="371" spans="1:18" x14ac:dyDescent="0.3">
      <c r="A371" s="9" t="s">
        <v>809</v>
      </c>
      <c r="B371" s="10" t="s">
        <v>827</v>
      </c>
      <c r="C371" s="11" t="s">
        <v>828</v>
      </c>
      <c r="D371" s="12">
        <v>43994</v>
      </c>
      <c r="E371" s="12">
        <v>43998</v>
      </c>
      <c r="F371" s="13">
        <v>24617210</v>
      </c>
      <c r="G371" s="14">
        <v>0</v>
      </c>
      <c r="H371" s="9" t="s">
        <v>829</v>
      </c>
      <c r="I371" s="15">
        <v>811036638</v>
      </c>
      <c r="J371" s="16" t="s">
        <v>837</v>
      </c>
      <c r="K371" s="17">
        <v>320</v>
      </c>
      <c r="L371" s="18" t="s">
        <v>21</v>
      </c>
      <c r="M371" s="19">
        <v>3634</v>
      </c>
      <c r="N371" s="19">
        <f t="shared" si="33"/>
        <v>690.46</v>
      </c>
      <c r="O371" s="19">
        <f t="shared" si="28"/>
        <v>1383827.2</v>
      </c>
      <c r="P371" s="17" t="s">
        <v>257</v>
      </c>
      <c r="R371" s="31"/>
    </row>
    <row r="372" spans="1:18" x14ac:dyDescent="0.3">
      <c r="A372" s="9" t="s">
        <v>809</v>
      </c>
      <c r="B372" s="10" t="s">
        <v>827</v>
      </c>
      <c r="C372" s="11" t="s">
        <v>828</v>
      </c>
      <c r="D372" s="12">
        <v>43994</v>
      </c>
      <c r="E372" s="12">
        <v>43998</v>
      </c>
      <c r="F372" s="13">
        <v>24617210</v>
      </c>
      <c r="G372" s="14">
        <v>0</v>
      </c>
      <c r="H372" s="9" t="s">
        <v>829</v>
      </c>
      <c r="I372" s="15">
        <v>811036638</v>
      </c>
      <c r="J372" s="16" t="s">
        <v>838</v>
      </c>
      <c r="K372" s="17">
        <v>320</v>
      </c>
      <c r="L372" s="18" t="s">
        <v>21</v>
      </c>
      <c r="M372" s="19">
        <v>3634</v>
      </c>
      <c r="N372" s="19">
        <f t="shared" si="33"/>
        <v>690.46</v>
      </c>
      <c r="O372" s="19">
        <f t="shared" si="28"/>
        <v>1383827.2</v>
      </c>
      <c r="P372" s="17" t="s">
        <v>257</v>
      </c>
      <c r="R372" s="31"/>
    </row>
    <row r="373" spans="1:18" x14ac:dyDescent="0.3">
      <c r="A373" s="9" t="s">
        <v>809</v>
      </c>
      <c r="B373" s="10" t="s">
        <v>827</v>
      </c>
      <c r="C373" s="11" t="s">
        <v>828</v>
      </c>
      <c r="D373" s="12">
        <v>43994</v>
      </c>
      <c r="E373" s="12">
        <v>43998</v>
      </c>
      <c r="F373" s="13">
        <v>24617210</v>
      </c>
      <c r="G373" s="14">
        <v>0</v>
      </c>
      <c r="H373" s="9" t="s">
        <v>829</v>
      </c>
      <c r="I373" s="15">
        <v>811036638</v>
      </c>
      <c r="J373" s="16" t="s">
        <v>839</v>
      </c>
      <c r="K373" s="17">
        <v>1500</v>
      </c>
      <c r="L373" s="18" t="s">
        <v>21</v>
      </c>
      <c r="M373" s="19">
        <v>4125</v>
      </c>
      <c r="N373" s="19">
        <f t="shared" si="33"/>
        <v>783.75</v>
      </c>
      <c r="O373" s="19">
        <f t="shared" si="28"/>
        <v>7363125</v>
      </c>
      <c r="P373" s="17" t="s">
        <v>257</v>
      </c>
      <c r="R373" s="31"/>
    </row>
    <row r="374" spans="1:18" x14ac:dyDescent="0.3">
      <c r="A374" s="9" t="s">
        <v>809</v>
      </c>
      <c r="B374" s="10" t="s">
        <v>827</v>
      </c>
      <c r="C374" s="11" t="s">
        <v>828</v>
      </c>
      <c r="D374" s="12">
        <v>43994</v>
      </c>
      <c r="E374" s="12">
        <v>43998</v>
      </c>
      <c r="F374" s="13">
        <v>24617210</v>
      </c>
      <c r="G374" s="14">
        <v>0</v>
      </c>
      <c r="H374" s="9" t="s">
        <v>829</v>
      </c>
      <c r="I374" s="15">
        <v>811036638</v>
      </c>
      <c r="J374" s="16" t="s">
        <v>840</v>
      </c>
      <c r="K374" s="17">
        <v>48</v>
      </c>
      <c r="L374" s="18" t="s">
        <v>21</v>
      </c>
      <c r="M374" s="19">
        <v>4950</v>
      </c>
      <c r="N374" s="19">
        <f t="shared" si="33"/>
        <v>940.5</v>
      </c>
      <c r="O374" s="19">
        <f t="shared" si="28"/>
        <v>282744</v>
      </c>
      <c r="P374" s="17" t="s">
        <v>257</v>
      </c>
      <c r="R374" s="31"/>
    </row>
    <row r="375" spans="1:18" x14ac:dyDescent="0.3">
      <c r="A375" s="9" t="s">
        <v>809</v>
      </c>
      <c r="B375" s="10" t="s">
        <v>827</v>
      </c>
      <c r="C375" s="11" t="s">
        <v>828</v>
      </c>
      <c r="D375" s="12">
        <v>43994</v>
      </c>
      <c r="E375" s="12">
        <v>43998</v>
      </c>
      <c r="F375" s="13">
        <v>24617210</v>
      </c>
      <c r="G375" s="14">
        <v>0</v>
      </c>
      <c r="H375" s="9" t="s">
        <v>829</v>
      </c>
      <c r="I375" s="15">
        <v>811036638</v>
      </c>
      <c r="J375" s="16" t="s">
        <v>841</v>
      </c>
      <c r="K375" s="17">
        <v>3</v>
      </c>
      <c r="L375" s="18" t="s">
        <v>716</v>
      </c>
      <c r="M375" s="19">
        <v>245000</v>
      </c>
      <c r="N375" s="19">
        <f t="shared" si="33"/>
        <v>46550</v>
      </c>
      <c r="O375" s="19">
        <f t="shared" si="28"/>
        <v>874650</v>
      </c>
      <c r="P375" s="17" t="s">
        <v>396</v>
      </c>
      <c r="R375" s="31"/>
    </row>
    <row r="376" spans="1:18" x14ac:dyDescent="0.3">
      <c r="A376" s="9" t="s">
        <v>809</v>
      </c>
      <c r="B376" s="10" t="s">
        <v>827</v>
      </c>
      <c r="C376" s="11" t="s">
        <v>828</v>
      </c>
      <c r="D376" s="12">
        <v>43994</v>
      </c>
      <c r="E376" s="12">
        <v>43998</v>
      </c>
      <c r="F376" s="13">
        <v>24617210</v>
      </c>
      <c r="G376" s="14">
        <v>0</v>
      </c>
      <c r="H376" s="9" t="s">
        <v>829</v>
      </c>
      <c r="I376" s="15">
        <v>811036638</v>
      </c>
      <c r="J376" s="16" t="s">
        <v>842</v>
      </c>
      <c r="K376" s="17">
        <v>7</v>
      </c>
      <c r="L376" s="18" t="s">
        <v>716</v>
      </c>
      <c r="M376" s="19">
        <v>220000</v>
      </c>
      <c r="N376" s="19">
        <f t="shared" si="33"/>
        <v>41800</v>
      </c>
      <c r="O376" s="19">
        <f t="shared" si="28"/>
        <v>1832600</v>
      </c>
      <c r="P376" s="17" t="s">
        <v>396</v>
      </c>
      <c r="R376" s="31"/>
    </row>
    <row r="377" spans="1:18" x14ac:dyDescent="0.3">
      <c r="A377" s="9" t="s">
        <v>809</v>
      </c>
      <c r="B377" s="10" t="s">
        <v>827</v>
      </c>
      <c r="C377" s="11" t="s">
        <v>828</v>
      </c>
      <c r="D377" s="12">
        <v>43994</v>
      </c>
      <c r="E377" s="12">
        <v>43998</v>
      </c>
      <c r="F377" s="13">
        <v>24617210</v>
      </c>
      <c r="G377" s="14">
        <v>0</v>
      </c>
      <c r="H377" s="9" t="s">
        <v>829</v>
      </c>
      <c r="I377" s="15">
        <v>811036638</v>
      </c>
      <c r="J377" s="16" t="s">
        <v>843</v>
      </c>
      <c r="K377" s="17">
        <v>1</v>
      </c>
      <c r="L377" s="18" t="s">
        <v>716</v>
      </c>
      <c r="M377" s="19">
        <v>332000</v>
      </c>
      <c r="N377" s="19">
        <f t="shared" si="33"/>
        <v>63080</v>
      </c>
      <c r="O377" s="19">
        <f t="shared" si="28"/>
        <v>395080</v>
      </c>
      <c r="P377" s="17" t="s">
        <v>396</v>
      </c>
      <c r="R377" s="31"/>
    </row>
    <row r="378" spans="1:18" x14ac:dyDescent="0.3">
      <c r="A378" s="9" t="s">
        <v>809</v>
      </c>
      <c r="B378" s="10" t="s">
        <v>844</v>
      </c>
      <c r="C378" s="11" t="s">
        <v>845</v>
      </c>
      <c r="D378" s="12">
        <v>43920</v>
      </c>
      <c r="E378" s="12">
        <v>43920</v>
      </c>
      <c r="F378" s="13">
        <v>26983488</v>
      </c>
      <c r="G378" s="14">
        <v>0</v>
      </c>
      <c r="H378" s="9" t="s">
        <v>846</v>
      </c>
      <c r="I378" s="15">
        <v>900727931</v>
      </c>
      <c r="J378" s="16" t="s">
        <v>847</v>
      </c>
      <c r="K378" s="17">
        <v>10000</v>
      </c>
      <c r="L378" s="18" t="s">
        <v>21</v>
      </c>
      <c r="M378" s="19">
        <v>1850</v>
      </c>
      <c r="N378" s="19">
        <f t="shared" si="33"/>
        <v>351.5</v>
      </c>
      <c r="O378" s="19">
        <f t="shared" si="28"/>
        <v>22015000</v>
      </c>
      <c r="P378" s="17" t="s">
        <v>31</v>
      </c>
      <c r="R378" s="31"/>
    </row>
    <row r="379" spans="1:18" x14ac:dyDescent="0.3">
      <c r="A379" s="9" t="s">
        <v>809</v>
      </c>
      <c r="B379" s="10" t="s">
        <v>844</v>
      </c>
      <c r="C379" s="11" t="s">
        <v>845</v>
      </c>
      <c r="D379" s="12">
        <v>43920</v>
      </c>
      <c r="E379" s="12">
        <v>43920</v>
      </c>
      <c r="F379" s="13">
        <v>26983488</v>
      </c>
      <c r="G379" s="14">
        <v>0</v>
      </c>
      <c r="H379" s="9" t="s">
        <v>846</v>
      </c>
      <c r="I379" s="15">
        <v>900727931</v>
      </c>
      <c r="J379" s="16" t="s">
        <v>848</v>
      </c>
      <c r="K379" s="17">
        <v>307</v>
      </c>
      <c r="L379" s="18" t="s">
        <v>70</v>
      </c>
      <c r="M379" s="19">
        <v>13600</v>
      </c>
      <c r="N379" s="19">
        <f t="shared" si="33"/>
        <v>2584</v>
      </c>
      <c r="O379" s="19">
        <f t="shared" si="28"/>
        <v>4968488</v>
      </c>
      <c r="P379" s="17" t="s">
        <v>145</v>
      </c>
      <c r="R379" s="31"/>
    </row>
    <row r="380" spans="1:18" x14ac:dyDescent="0.3">
      <c r="A380" s="9" t="s">
        <v>809</v>
      </c>
      <c r="B380" s="10" t="s">
        <v>849</v>
      </c>
      <c r="C380" s="11" t="s">
        <v>845</v>
      </c>
      <c r="D380" s="12">
        <v>43950</v>
      </c>
      <c r="E380" s="12">
        <v>43950</v>
      </c>
      <c r="F380" s="13">
        <v>51899000</v>
      </c>
      <c r="G380" s="14">
        <v>0</v>
      </c>
      <c r="H380" s="9" t="s">
        <v>846</v>
      </c>
      <c r="I380" s="15">
        <v>900727931</v>
      </c>
      <c r="J380" s="16" t="s">
        <v>850</v>
      </c>
      <c r="K380" s="17">
        <v>34151</v>
      </c>
      <c r="L380" s="18" t="s">
        <v>21</v>
      </c>
      <c r="M380" s="19">
        <v>1000</v>
      </c>
      <c r="N380" s="19">
        <v>0</v>
      </c>
      <c r="O380" s="19">
        <f t="shared" si="28"/>
        <v>34151000</v>
      </c>
      <c r="P380" s="17" t="s">
        <v>31</v>
      </c>
      <c r="R380" s="31"/>
    </row>
    <row r="381" spans="1:18" x14ac:dyDescent="0.3">
      <c r="A381" s="9" t="s">
        <v>809</v>
      </c>
      <c r="B381" s="10" t="s">
        <v>849</v>
      </c>
      <c r="C381" s="11" t="s">
        <v>845</v>
      </c>
      <c r="D381" s="12">
        <v>43950</v>
      </c>
      <c r="E381" s="12">
        <v>43950</v>
      </c>
      <c r="F381" s="13">
        <v>51899000</v>
      </c>
      <c r="G381" s="14">
        <v>0</v>
      </c>
      <c r="H381" s="9" t="s">
        <v>846</v>
      </c>
      <c r="I381" s="15">
        <v>900727931</v>
      </c>
      <c r="J381" s="16" t="s">
        <v>851</v>
      </c>
      <c r="K381" s="17">
        <v>1305</v>
      </c>
      <c r="L381" s="18" t="s">
        <v>70</v>
      </c>
      <c r="M381" s="19">
        <v>13600</v>
      </c>
      <c r="N381" s="19">
        <v>0</v>
      </c>
      <c r="O381" s="19">
        <f t="shared" si="28"/>
        <v>17748000</v>
      </c>
      <c r="P381" s="17" t="s">
        <v>145</v>
      </c>
      <c r="R381" s="31"/>
    </row>
    <row r="382" spans="1:18" x14ac:dyDescent="0.3">
      <c r="A382" s="9" t="s">
        <v>809</v>
      </c>
      <c r="B382" s="10" t="s">
        <v>818</v>
      </c>
      <c r="C382" s="11" t="s">
        <v>819</v>
      </c>
      <c r="D382" s="12">
        <v>43958</v>
      </c>
      <c r="E382" s="12">
        <v>43962</v>
      </c>
      <c r="F382" s="13">
        <v>3898952</v>
      </c>
      <c r="G382" s="14">
        <v>0</v>
      </c>
      <c r="H382" s="9" t="s">
        <v>820</v>
      </c>
      <c r="I382" s="15">
        <v>800147520</v>
      </c>
      <c r="J382" s="16" t="s">
        <v>852</v>
      </c>
      <c r="K382" s="17">
        <v>12</v>
      </c>
      <c r="L382" s="18" t="s">
        <v>21</v>
      </c>
      <c r="M382" s="19">
        <v>300000</v>
      </c>
      <c r="N382" s="19">
        <v>0</v>
      </c>
      <c r="O382" s="19">
        <f t="shared" si="28"/>
        <v>3600000</v>
      </c>
      <c r="P382" s="17" t="s">
        <v>185</v>
      </c>
      <c r="R382" s="31"/>
    </row>
    <row r="383" spans="1:18" x14ac:dyDescent="0.3">
      <c r="A383" s="9" t="s">
        <v>809</v>
      </c>
      <c r="B383" s="10" t="s">
        <v>818</v>
      </c>
      <c r="C383" s="11" t="s">
        <v>819</v>
      </c>
      <c r="D383" s="12">
        <v>43958</v>
      </c>
      <c r="E383" s="12">
        <v>43962</v>
      </c>
      <c r="F383" s="13">
        <v>3898952</v>
      </c>
      <c r="G383" s="14">
        <v>0</v>
      </c>
      <c r="H383" s="9" t="s">
        <v>820</v>
      </c>
      <c r="I383" s="15">
        <v>800147520</v>
      </c>
      <c r="J383" s="16" t="s">
        <v>822</v>
      </c>
      <c r="K383" s="17">
        <v>158</v>
      </c>
      <c r="L383" s="18" t="s">
        <v>21</v>
      </c>
      <c r="M383" s="19">
        <v>1590</v>
      </c>
      <c r="N383" s="19">
        <f>M383*0.19</f>
        <v>302.10000000000002</v>
      </c>
      <c r="O383" s="19">
        <f t="shared" si="28"/>
        <v>298951.8</v>
      </c>
      <c r="P383" s="17" t="s">
        <v>334</v>
      </c>
      <c r="R383" s="31"/>
    </row>
    <row r="384" spans="1:18" x14ac:dyDescent="0.3">
      <c r="A384" s="9" t="s">
        <v>809</v>
      </c>
      <c r="B384" s="10" t="s">
        <v>810</v>
      </c>
      <c r="C384" s="11" t="s">
        <v>811</v>
      </c>
      <c r="D384" s="12">
        <v>43959</v>
      </c>
      <c r="E384" s="12">
        <v>43963</v>
      </c>
      <c r="F384" s="13">
        <v>36164900</v>
      </c>
      <c r="G384" s="14">
        <v>0</v>
      </c>
      <c r="H384" s="9" t="s">
        <v>812</v>
      </c>
      <c r="I384" s="15">
        <v>900429897</v>
      </c>
      <c r="J384" s="16" t="s">
        <v>853</v>
      </c>
      <c r="K384" s="17">
        <v>1354</v>
      </c>
      <c r="L384" s="18" t="s">
        <v>36</v>
      </c>
      <c r="M384" s="19">
        <v>16850</v>
      </c>
      <c r="N384" s="19">
        <v>0</v>
      </c>
      <c r="O384" s="19">
        <f t="shared" si="28"/>
        <v>22814900</v>
      </c>
      <c r="P384" s="17" t="s">
        <v>37</v>
      </c>
      <c r="R384" s="31"/>
    </row>
    <row r="385" spans="1:18" x14ac:dyDescent="0.3">
      <c r="A385" s="9" t="s">
        <v>809</v>
      </c>
      <c r="B385" s="10" t="s">
        <v>810</v>
      </c>
      <c r="C385" s="11" t="s">
        <v>811</v>
      </c>
      <c r="D385" s="12">
        <v>43959</v>
      </c>
      <c r="E385" s="12">
        <v>43963</v>
      </c>
      <c r="F385" s="13">
        <v>36164900</v>
      </c>
      <c r="G385" s="14">
        <v>0</v>
      </c>
      <c r="H385" s="9" t="s">
        <v>812</v>
      </c>
      <c r="I385" s="15">
        <v>900429897</v>
      </c>
      <c r="J385" s="16" t="s">
        <v>854</v>
      </c>
      <c r="K385" s="17">
        <v>1335</v>
      </c>
      <c r="L385" s="18" t="s">
        <v>21</v>
      </c>
      <c r="M385" s="19">
        <v>10000</v>
      </c>
      <c r="N385" s="19">
        <v>0</v>
      </c>
      <c r="O385" s="19">
        <f t="shared" si="28"/>
        <v>13350000</v>
      </c>
      <c r="P385" s="17" t="s">
        <v>82</v>
      </c>
      <c r="R385" s="31"/>
    </row>
    <row r="386" spans="1:18" x14ac:dyDescent="0.3">
      <c r="A386" s="9" t="s">
        <v>809</v>
      </c>
      <c r="B386" s="10" t="s">
        <v>849</v>
      </c>
      <c r="C386" s="11" t="s">
        <v>845</v>
      </c>
      <c r="D386" s="12">
        <v>43950</v>
      </c>
      <c r="E386" s="12">
        <v>43956</v>
      </c>
      <c r="F386" s="13">
        <v>0</v>
      </c>
      <c r="G386" s="14">
        <v>150000000</v>
      </c>
      <c r="H386" s="9" t="s">
        <v>846</v>
      </c>
      <c r="I386" s="15">
        <v>900727931</v>
      </c>
      <c r="J386" s="16" t="s">
        <v>855</v>
      </c>
      <c r="K386" s="17">
        <v>150000</v>
      </c>
      <c r="L386" s="18" t="s">
        <v>21</v>
      </c>
      <c r="M386" s="19">
        <v>1000</v>
      </c>
      <c r="N386" s="19">
        <v>0</v>
      </c>
      <c r="O386" s="19">
        <f t="shared" si="28"/>
        <v>150000000</v>
      </c>
      <c r="P386" s="17" t="s">
        <v>31</v>
      </c>
      <c r="R386" s="31"/>
    </row>
    <row r="387" spans="1:18" x14ac:dyDescent="0.3">
      <c r="A387" s="9" t="s">
        <v>809</v>
      </c>
      <c r="B387" s="10" t="s">
        <v>856</v>
      </c>
      <c r="C387" s="11" t="s">
        <v>857</v>
      </c>
      <c r="D387" s="12">
        <v>44015</v>
      </c>
      <c r="E387" s="12">
        <v>44018</v>
      </c>
      <c r="F387" s="13">
        <v>14999192</v>
      </c>
      <c r="G387" s="14">
        <v>0</v>
      </c>
      <c r="H387" s="9" t="s">
        <v>858</v>
      </c>
      <c r="I387" s="15">
        <v>900471617</v>
      </c>
      <c r="J387" s="16" t="s">
        <v>859</v>
      </c>
      <c r="K387" s="17">
        <v>440</v>
      </c>
      <c r="L387" s="18" t="s">
        <v>21</v>
      </c>
      <c r="M387" s="19">
        <v>29500</v>
      </c>
      <c r="N387" s="19">
        <v>0</v>
      </c>
      <c r="O387" s="19">
        <f t="shared" si="28"/>
        <v>12980000</v>
      </c>
      <c r="P387" s="17" t="s">
        <v>98</v>
      </c>
      <c r="R387" s="31"/>
    </row>
    <row r="388" spans="1:18" x14ac:dyDescent="0.3">
      <c r="A388" s="9" t="s">
        <v>809</v>
      </c>
      <c r="B388" s="10" t="s">
        <v>856</v>
      </c>
      <c r="C388" s="11" t="s">
        <v>857</v>
      </c>
      <c r="D388" s="12">
        <v>44015</v>
      </c>
      <c r="E388" s="12">
        <v>44018</v>
      </c>
      <c r="F388" s="13">
        <v>14999192</v>
      </c>
      <c r="G388" s="14">
        <v>0</v>
      </c>
      <c r="H388" s="9" t="s">
        <v>858</v>
      </c>
      <c r="I388" s="15">
        <v>900471617</v>
      </c>
      <c r="J388" s="16" t="s">
        <v>860</v>
      </c>
      <c r="K388" s="17">
        <v>303</v>
      </c>
      <c r="L388" s="18" t="s">
        <v>515</v>
      </c>
      <c r="M388" s="19">
        <v>5600</v>
      </c>
      <c r="N388" s="19">
        <f t="shared" ref="N388:N415" si="34">M388*0.19</f>
        <v>1064</v>
      </c>
      <c r="O388" s="19">
        <f t="shared" ref="O388:O451" si="35">K388*(M388+N388)</f>
        <v>2019192</v>
      </c>
      <c r="P388" s="17" t="s">
        <v>516</v>
      </c>
      <c r="R388" s="31"/>
    </row>
    <row r="389" spans="1:18" x14ac:dyDescent="0.3">
      <c r="A389" s="9" t="s">
        <v>861</v>
      </c>
      <c r="B389" s="10" t="s">
        <v>862</v>
      </c>
      <c r="C389" s="11" t="s">
        <v>863</v>
      </c>
      <c r="D389" s="12" t="s">
        <v>864</v>
      </c>
      <c r="E389" s="12" t="s">
        <v>864</v>
      </c>
      <c r="F389" s="13">
        <v>21078782</v>
      </c>
      <c r="G389" s="14">
        <v>0</v>
      </c>
      <c r="H389" s="9" t="s">
        <v>865</v>
      </c>
      <c r="I389" s="15">
        <v>900406714</v>
      </c>
      <c r="J389" s="16" t="s">
        <v>866</v>
      </c>
      <c r="K389" s="17">
        <v>12</v>
      </c>
      <c r="L389" s="18" t="s">
        <v>70</v>
      </c>
      <c r="M389" s="19">
        <v>18487</v>
      </c>
      <c r="N389" s="19">
        <f t="shared" si="34"/>
        <v>3512.53</v>
      </c>
      <c r="O389" s="19">
        <f t="shared" si="35"/>
        <v>263994.36</v>
      </c>
      <c r="P389" s="17" t="s">
        <v>69</v>
      </c>
      <c r="R389" s="31"/>
    </row>
    <row r="390" spans="1:18" x14ac:dyDescent="0.3">
      <c r="A390" s="9" t="s">
        <v>861</v>
      </c>
      <c r="B390" s="10" t="s">
        <v>862</v>
      </c>
      <c r="C390" s="11" t="s">
        <v>863</v>
      </c>
      <c r="D390" s="12" t="s">
        <v>864</v>
      </c>
      <c r="E390" s="12" t="s">
        <v>864</v>
      </c>
      <c r="F390" s="13">
        <v>21078782</v>
      </c>
      <c r="G390" s="14">
        <v>0</v>
      </c>
      <c r="H390" s="9" t="s">
        <v>865</v>
      </c>
      <c r="I390" s="15">
        <v>900406714</v>
      </c>
      <c r="J390" s="16" t="s">
        <v>867</v>
      </c>
      <c r="K390" s="46">
        <v>190</v>
      </c>
      <c r="L390" s="18" t="s">
        <v>36</v>
      </c>
      <c r="M390" s="19">
        <v>3557.2105263157896</v>
      </c>
      <c r="N390" s="19">
        <f t="shared" si="34"/>
        <v>675.87</v>
      </c>
      <c r="O390" s="19">
        <f t="shared" si="35"/>
        <v>804285.3</v>
      </c>
      <c r="P390" s="17" t="s">
        <v>39</v>
      </c>
      <c r="R390" s="31"/>
    </row>
    <row r="391" spans="1:18" x14ac:dyDescent="0.3">
      <c r="A391" s="9" t="s">
        <v>861</v>
      </c>
      <c r="B391" s="10" t="s">
        <v>862</v>
      </c>
      <c r="C391" s="11" t="s">
        <v>863</v>
      </c>
      <c r="D391" s="12" t="s">
        <v>864</v>
      </c>
      <c r="E391" s="12" t="s">
        <v>864</v>
      </c>
      <c r="F391" s="13">
        <v>21078782</v>
      </c>
      <c r="G391" s="14">
        <v>0</v>
      </c>
      <c r="H391" s="9" t="s">
        <v>865</v>
      </c>
      <c r="I391" s="15">
        <v>900406714</v>
      </c>
      <c r="J391" s="16" t="s">
        <v>868</v>
      </c>
      <c r="K391" s="17">
        <v>4</v>
      </c>
      <c r="L391" s="18" t="s">
        <v>21</v>
      </c>
      <c r="M391" s="19">
        <v>2251.21</v>
      </c>
      <c r="N391" s="19">
        <f t="shared" si="34"/>
        <v>427.72989999999999</v>
      </c>
      <c r="O391" s="19">
        <f t="shared" si="35"/>
        <v>10715.759599999999</v>
      </c>
      <c r="P391" s="17" t="s">
        <v>869</v>
      </c>
      <c r="R391" s="31"/>
    </row>
    <row r="392" spans="1:18" x14ac:dyDescent="0.3">
      <c r="A392" s="9" t="s">
        <v>861</v>
      </c>
      <c r="B392" s="10" t="s">
        <v>862</v>
      </c>
      <c r="C392" s="11" t="s">
        <v>863</v>
      </c>
      <c r="D392" s="12" t="s">
        <v>864</v>
      </c>
      <c r="E392" s="12" t="s">
        <v>864</v>
      </c>
      <c r="F392" s="13">
        <v>21078782</v>
      </c>
      <c r="G392" s="14">
        <v>0</v>
      </c>
      <c r="H392" s="9" t="s">
        <v>865</v>
      </c>
      <c r="I392" s="15">
        <v>900406714</v>
      </c>
      <c r="J392" s="16" t="s">
        <v>870</v>
      </c>
      <c r="K392" s="17">
        <v>1500</v>
      </c>
      <c r="L392" s="18" t="s">
        <v>21</v>
      </c>
      <c r="M392" s="19">
        <v>582.3528</v>
      </c>
      <c r="N392" s="19">
        <f t="shared" si="34"/>
        <v>110.647032</v>
      </c>
      <c r="O392" s="19">
        <f t="shared" si="35"/>
        <v>1039499.7479999999</v>
      </c>
      <c r="P392" s="17" t="s">
        <v>31</v>
      </c>
      <c r="R392" s="31"/>
    </row>
    <row r="393" spans="1:18" x14ac:dyDescent="0.3">
      <c r="A393" s="9" t="s">
        <v>861</v>
      </c>
      <c r="B393" s="10" t="s">
        <v>862</v>
      </c>
      <c r="C393" s="11" t="s">
        <v>863</v>
      </c>
      <c r="D393" s="12" t="s">
        <v>864</v>
      </c>
      <c r="E393" s="12" t="s">
        <v>864</v>
      </c>
      <c r="F393" s="13">
        <v>21078782</v>
      </c>
      <c r="G393" s="14">
        <v>0</v>
      </c>
      <c r="H393" s="9" t="s">
        <v>865</v>
      </c>
      <c r="I393" s="15">
        <v>900406714</v>
      </c>
      <c r="J393" s="16" t="s">
        <v>871</v>
      </c>
      <c r="K393" s="17">
        <v>5</v>
      </c>
      <c r="L393" s="18" t="s">
        <v>21</v>
      </c>
      <c r="M393" s="19">
        <v>6303.33</v>
      </c>
      <c r="N393" s="19">
        <f t="shared" si="34"/>
        <v>1197.6327000000001</v>
      </c>
      <c r="O393" s="19">
        <f t="shared" si="35"/>
        <v>37504.813500000004</v>
      </c>
      <c r="P393" s="17" t="s">
        <v>869</v>
      </c>
      <c r="R393" s="31"/>
    </row>
    <row r="394" spans="1:18" x14ac:dyDescent="0.3">
      <c r="A394" s="9" t="s">
        <v>861</v>
      </c>
      <c r="B394" s="10" t="s">
        <v>862</v>
      </c>
      <c r="C394" s="11" t="s">
        <v>863</v>
      </c>
      <c r="D394" s="12" t="s">
        <v>864</v>
      </c>
      <c r="E394" s="12" t="s">
        <v>864</v>
      </c>
      <c r="F394" s="13">
        <v>21078782</v>
      </c>
      <c r="G394" s="14">
        <v>0</v>
      </c>
      <c r="H394" s="9" t="s">
        <v>865</v>
      </c>
      <c r="I394" s="15">
        <v>900406714</v>
      </c>
      <c r="J394" s="16" t="s">
        <v>872</v>
      </c>
      <c r="K394" s="17">
        <v>12</v>
      </c>
      <c r="L394" s="18" t="s">
        <v>21</v>
      </c>
      <c r="M394" s="19">
        <v>2974</v>
      </c>
      <c r="N394" s="19">
        <f t="shared" si="34"/>
        <v>565.06000000000006</v>
      </c>
      <c r="O394" s="19">
        <f t="shared" si="35"/>
        <v>42468.72</v>
      </c>
      <c r="P394" s="17" t="s">
        <v>869</v>
      </c>
      <c r="R394" s="31"/>
    </row>
    <row r="395" spans="1:18" x14ac:dyDescent="0.3">
      <c r="A395" s="9" t="s">
        <v>861</v>
      </c>
      <c r="B395" s="10" t="s">
        <v>862</v>
      </c>
      <c r="C395" s="11" t="s">
        <v>863</v>
      </c>
      <c r="D395" s="12" t="s">
        <v>864</v>
      </c>
      <c r="E395" s="12" t="s">
        <v>864</v>
      </c>
      <c r="F395" s="13">
        <v>21078782</v>
      </c>
      <c r="G395" s="14">
        <v>0</v>
      </c>
      <c r="H395" s="9" t="s">
        <v>865</v>
      </c>
      <c r="I395" s="15">
        <v>900406714</v>
      </c>
      <c r="J395" s="16" t="s">
        <v>873</v>
      </c>
      <c r="K395" s="17">
        <v>5</v>
      </c>
      <c r="L395" s="18" t="s">
        <v>70</v>
      </c>
      <c r="M395" s="19">
        <v>18487</v>
      </c>
      <c r="N395" s="19">
        <f t="shared" si="34"/>
        <v>3512.53</v>
      </c>
      <c r="O395" s="19">
        <f t="shared" si="35"/>
        <v>109997.65</v>
      </c>
      <c r="P395" s="17" t="s">
        <v>69</v>
      </c>
      <c r="R395" s="31"/>
    </row>
    <row r="396" spans="1:18" x14ac:dyDescent="0.3">
      <c r="A396" s="9" t="s">
        <v>861</v>
      </c>
      <c r="B396" s="10" t="s">
        <v>862</v>
      </c>
      <c r="C396" s="11" t="s">
        <v>863</v>
      </c>
      <c r="D396" s="12" t="s">
        <v>864</v>
      </c>
      <c r="E396" s="12" t="s">
        <v>864</v>
      </c>
      <c r="F396" s="13">
        <v>21078782</v>
      </c>
      <c r="G396" s="14">
        <v>0</v>
      </c>
      <c r="H396" s="9" t="s">
        <v>865</v>
      </c>
      <c r="I396" s="15">
        <v>900406714</v>
      </c>
      <c r="J396" s="16" t="s">
        <v>874</v>
      </c>
      <c r="K396" s="17">
        <v>20</v>
      </c>
      <c r="L396" s="18" t="s">
        <v>36</v>
      </c>
      <c r="M396" s="19">
        <v>12653.846000000001</v>
      </c>
      <c r="N396" s="19">
        <f t="shared" si="34"/>
        <v>2404.2307400000004</v>
      </c>
      <c r="O396" s="19">
        <f t="shared" si="35"/>
        <v>301161.53480000002</v>
      </c>
      <c r="P396" s="17" t="s">
        <v>875</v>
      </c>
      <c r="R396" s="31"/>
    </row>
    <row r="397" spans="1:18" x14ac:dyDescent="0.3">
      <c r="A397" s="9" t="s">
        <v>861</v>
      </c>
      <c r="B397" s="10" t="s">
        <v>862</v>
      </c>
      <c r="C397" s="11" t="s">
        <v>863</v>
      </c>
      <c r="D397" s="12" t="s">
        <v>864</v>
      </c>
      <c r="E397" s="12" t="s">
        <v>864</v>
      </c>
      <c r="F397" s="13">
        <v>21078782</v>
      </c>
      <c r="G397" s="14">
        <v>0</v>
      </c>
      <c r="H397" s="9" t="s">
        <v>865</v>
      </c>
      <c r="I397" s="15">
        <v>900406714</v>
      </c>
      <c r="J397" s="16" t="s">
        <v>876</v>
      </c>
      <c r="K397" s="17">
        <v>1200</v>
      </c>
      <c r="L397" s="18" t="s">
        <v>53</v>
      </c>
      <c r="M397" s="19">
        <v>1284.4166666666667</v>
      </c>
      <c r="N397" s="19">
        <f t="shared" si="34"/>
        <v>244.03916666666669</v>
      </c>
      <c r="O397" s="19">
        <f t="shared" si="35"/>
        <v>1834147</v>
      </c>
      <c r="P397" s="17" t="s">
        <v>209</v>
      </c>
      <c r="R397" s="31"/>
    </row>
    <row r="398" spans="1:18" x14ac:dyDescent="0.3">
      <c r="A398" s="9" t="s">
        <v>861</v>
      </c>
      <c r="B398" s="10" t="s">
        <v>862</v>
      </c>
      <c r="C398" s="11" t="s">
        <v>863</v>
      </c>
      <c r="D398" s="12" t="s">
        <v>864</v>
      </c>
      <c r="E398" s="12" t="s">
        <v>864</v>
      </c>
      <c r="F398" s="13">
        <v>21078782</v>
      </c>
      <c r="G398" s="14">
        <v>0</v>
      </c>
      <c r="H398" s="9" t="s">
        <v>865</v>
      </c>
      <c r="I398" s="15">
        <v>900406714</v>
      </c>
      <c r="J398" s="16" t="s">
        <v>877</v>
      </c>
      <c r="K398" s="17">
        <v>72</v>
      </c>
      <c r="L398" s="29" t="s">
        <v>2135</v>
      </c>
      <c r="M398" s="19">
        <v>5389</v>
      </c>
      <c r="N398" s="19">
        <f t="shared" si="34"/>
        <v>1023.91</v>
      </c>
      <c r="O398" s="19">
        <f t="shared" si="35"/>
        <v>461729.52</v>
      </c>
      <c r="P398" s="21" t="s">
        <v>656</v>
      </c>
      <c r="R398" s="31"/>
    </row>
    <row r="399" spans="1:18" x14ac:dyDescent="0.3">
      <c r="A399" s="9" t="s">
        <v>861</v>
      </c>
      <c r="B399" s="10" t="s">
        <v>862</v>
      </c>
      <c r="C399" s="11" t="s">
        <v>863</v>
      </c>
      <c r="D399" s="12" t="s">
        <v>864</v>
      </c>
      <c r="E399" s="12" t="s">
        <v>864</v>
      </c>
      <c r="F399" s="13">
        <v>21078782</v>
      </c>
      <c r="G399" s="14">
        <v>0</v>
      </c>
      <c r="H399" s="9" t="s">
        <v>865</v>
      </c>
      <c r="I399" s="15">
        <v>900406714</v>
      </c>
      <c r="J399" s="16" t="s">
        <v>878</v>
      </c>
      <c r="K399" s="17">
        <v>360</v>
      </c>
      <c r="L399" s="18" t="s">
        <v>53</v>
      </c>
      <c r="M399" s="19">
        <v>15913</v>
      </c>
      <c r="N399" s="19">
        <f t="shared" si="34"/>
        <v>3023.4700000000003</v>
      </c>
      <c r="O399" s="19">
        <f t="shared" si="35"/>
        <v>6817129.2000000002</v>
      </c>
      <c r="P399" s="21" t="s">
        <v>656</v>
      </c>
      <c r="R399" s="31"/>
    </row>
    <row r="400" spans="1:18" x14ac:dyDescent="0.3">
      <c r="A400" s="9" t="s">
        <v>861</v>
      </c>
      <c r="B400" s="10" t="s">
        <v>862</v>
      </c>
      <c r="C400" s="11" t="s">
        <v>863</v>
      </c>
      <c r="D400" s="12" t="s">
        <v>864</v>
      </c>
      <c r="E400" s="12" t="s">
        <v>864</v>
      </c>
      <c r="F400" s="13">
        <v>21078782</v>
      </c>
      <c r="G400" s="14">
        <v>0</v>
      </c>
      <c r="H400" s="9" t="s">
        <v>865</v>
      </c>
      <c r="I400" s="15">
        <v>900406714</v>
      </c>
      <c r="J400" s="16" t="s">
        <v>879</v>
      </c>
      <c r="K400" s="17">
        <v>2400</v>
      </c>
      <c r="L400" s="18" t="s">
        <v>21</v>
      </c>
      <c r="M400" s="19">
        <v>578.22</v>
      </c>
      <c r="N400" s="19">
        <f t="shared" si="34"/>
        <v>109.8618</v>
      </c>
      <c r="O400" s="19">
        <f t="shared" si="35"/>
        <v>1651396.32</v>
      </c>
      <c r="P400" s="17" t="s">
        <v>880</v>
      </c>
      <c r="R400" s="31"/>
    </row>
    <row r="401" spans="1:18" x14ac:dyDescent="0.3">
      <c r="A401" s="9" t="s">
        <v>861</v>
      </c>
      <c r="B401" s="10" t="s">
        <v>862</v>
      </c>
      <c r="C401" s="11" t="s">
        <v>863</v>
      </c>
      <c r="D401" s="12" t="s">
        <v>864</v>
      </c>
      <c r="E401" s="12" t="s">
        <v>864</v>
      </c>
      <c r="F401" s="13">
        <v>21078782</v>
      </c>
      <c r="G401" s="14">
        <v>0</v>
      </c>
      <c r="H401" s="9" t="s">
        <v>865</v>
      </c>
      <c r="I401" s="15">
        <v>900406714</v>
      </c>
      <c r="J401" s="16" t="s">
        <v>881</v>
      </c>
      <c r="K401" s="46">
        <v>126</v>
      </c>
      <c r="L401" s="18" t="s">
        <v>36</v>
      </c>
      <c r="M401" s="19">
        <v>25205</v>
      </c>
      <c r="N401" s="19">
        <f t="shared" si="34"/>
        <v>4788.95</v>
      </c>
      <c r="O401" s="19">
        <f t="shared" si="35"/>
        <v>3779237.7</v>
      </c>
      <c r="P401" s="17" t="s">
        <v>39</v>
      </c>
      <c r="R401" s="31"/>
    </row>
    <row r="402" spans="1:18" x14ac:dyDescent="0.3">
      <c r="A402" s="9" t="s">
        <v>861</v>
      </c>
      <c r="B402" s="10" t="s">
        <v>862</v>
      </c>
      <c r="C402" s="11" t="s">
        <v>863</v>
      </c>
      <c r="D402" s="12" t="s">
        <v>864</v>
      </c>
      <c r="E402" s="12" t="s">
        <v>864</v>
      </c>
      <c r="F402" s="13">
        <v>21078782</v>
      </c>
      <c r="G402" s="14">
        <v>0</v>
      </c>
      <c r="H402" s="9" t="s">
        <v>865</v>
      </c>
      <c r="I402" s="15">
        <v>900406714</v>
      </c>
      <c r="J402" s="16" t="s">
        <v>882</v>
      </c>
      <c r="K402" s="17">
        <v>300</v>
      </c>
      <c r="L402" s="18" t="s">
        <v>21</v>
      </c>
      <c r="M402" s="19">
        <v>10650</v>
      </c>
      <c r="N402" s="19">
        <f t="shared" si="34"/>
        <v>2023.5</v>
      </c>
      <c r="O402" s="19">
        <f t="shared" si="35"/>
        <v>3802050</v>
      </c>
      <c r="P402" s="17" t="s">
        <v>22</v>
      </c>
      <c r="R402" s="31"/>
    </row>
    <row r="403" spans="1:18" x14ac:dyDescent="0.3">
      <c r="A403" s="9" t="s">
        <v>861</v>
      </c>
      <c r="B403" s="10" t="s">
        <v>883</v>
      </c>
      <c r="C403" s="11" t="s">
        <v>884</v>
      </c>
      <c r="D403" s="12" t="s">
        <v>885</v>
      </c>
      <c r="E403" s="12" t="s">
        <v>885</v>
      </c>
      <c r="F403" s="13">
        <v>10499998</v>
      </c>
      <c r="G403" s="14">
        <v>0</v>
      </c>
      <c r="H403" s="9" t="s">
        <v>886</v>
      </c>
      <c r="I403" s="15">
        <v>901260145</v>
      </c>
      <c r="J403" s="16" t="s">
        <v>887</v>
      </c>
      <c r="K403" s="17">
        <v>350</v>
      </c>
      <c r="L403" s="18" t="s">
        <v>36</v>
      </c>
      <c r="M403" s="19">
        <v>25210.080000000002</v>
      </c>
      <c r="N403" s="19">
        <f t="shared" si="34"/>
        <v>4789.9152000000004</v>
      </c>
      <c r="O403" s="19">
        <f t="shared" si="35"/>
        <v>10499998.32</v>
      </c>
      <c r="P403" s="17" t="s">
        <v>37</v>
      </c>
      <c r="R403" s="31"/>
    </row>
    <row r="404" spans="1:18" x14ac:dyDescent="0.3">
      <c r="A404" s="9" t="s">
        <v>861</v>
      </c>
      <c r="B404" s="10" t="s">
        <v>888</v>
      </c>
      <c r="C404" s="11" t="s">
        <v>884</v>
      </c>
      <c r="D404" s="12" t="s">
        <v>885</v>
      </c>
      <c r="E404" s="12" t="s">
        <v>885</v>
      </c>
      <c r="F404" s="13">
        <v>1081500</v>
      </c>
      <c r="G404" s="14">
        <v>0</v>
      </c>
      <c r="H404" s="9" t="s">
        <v>889</v>
      </c>
      <c r="I404" s="15">
        <v>15354493</v>
      </c>
      <c r="J404" s="16" t="s">
        <v>890</v>
      </c>
      <c r="K404" s="17">
        <v>40</v>
      </c>
      <c r="L404" s="18" t="s">
        <v>70</v>
      </c>
      <c r="M404" s="19">
        <v>21260.504199999999</v>
      </c>
      <c r="N404" s="19">
        <f t="shared" si="34"/>
        <v>4039.4957979999999</v>
      </c>
      <c r="O404" s="19">
        <f t="shared" si="35"/>
        <v>1011999.99992</v>
      </c>
      <c r="P404" s="17" t="s">
        <v>69</v>
      </c>
      <c r="R404" s="31"/>
    </row>
    <row r="405" spans="1:18" x14ac:dyDescent="0.3">
      <c r="A405" s="9" t="s">
        <v>861</v>
      </c>
      <c r="B405" s="10" t="s">
        <v>888</v>
      </c>
      <c r="C405" s="11" t="s">
        <v>884</v>
      </c>
      <c r="D405" s="12" t="s">
        <v>885</v>
      </c>
      <c r="E405" s="12" t="s">
        <v>885</v>
      </c>
      <c r="F405" s="13">
        <v>1081500</v>
      </c>
      <c r="G405" s="14">
        <v>0</v>
      </c>
      <c r="H405" s="9" t="s">
        <v>889</v>
      </c>
      <c r="I405" s="15">
        <v>15354493</v>
      </c>
      <c r="J405" s="16" t="s">
        <v>891</v>
      </c>
      <c r="K405" s="17">
        <v>5</v>
      </c>
      <c r="L405" s="18" t="s">
        <v>515</v>
      </c>
      <c r="M405" s="19">
        <v>4621.84</v>
      </c>
      <c r="N405" s="19">
        <f t="shared" si="34"/>
        <v>878.14960000000008</v>
      </c>
      <c r="O405" s="19">
        <f t="shared" si="35"/>
        <v>27499.948</v>
      </c>
      <c r="P405" s="17" t="s">
        <v>516</v>
      </c>
      <c r="R405" s="31"/>
    </row>
    <row r="406" spans="1:18" x14ac:dyDescent="0.3">
      <c r="A406" s="9" t="s">
        <v>861</v>
      </c>
      <c r="B406" s="10" t="s">
        <v>888</v>
      </c>
      <c r="C406" s="11" t="s">
        <v>884</v>
      </c>
      <c r="D406" s="12" t="s">
        <v>885</v>
      </c>
      <c r="E406" s="12" t="s">
        <v>885</v>
      </c>
      <c r="F406" s="13">
        <v>1081500</v>
      </c>
      <c r="G406" s="14">
        <v>0</v>
      </c>
      <c r="H406" s="9" t="s">
        <v>889</v>
      </c>
      <c r="I406" s="15">
        <v>15354493</v>
      </c>
      <c r="J406" s="16" t="s">
        <v>892</v>
      </c>
      <c r="K406" s="17">
        <v>6</v>
      </c>
      <c r="L406" s="18" t="s">
        <v>515</v>
      </c>
      <c r="M406" s="19">
        <v>5882.35</v>
      </c>
      <c r="N406" s="19">
        <f t="shared" si="34"/>
        <v>1117.6465000000001</v>
      </c>
      <c r="O406" s="19">
        <f t="shared" si="35"/>
        <v>41999.978999999999</v>
      </c>
      <c r="P406" s="17" t="s">
        <v>516</v>
      </c>
      <c r="R406" s="31"/>
    </row>
    <row r="407" spans="1:18" x14ac:dyDescent="0.3">
      <c r="A407" s="9" t="s">
        <v>861</v>
      </c>
      <c r="B407" s="10" t="s">
        <v>893</v>
      </c>
      <c r="C407" s="11" t="s">
        <v>884</v>
      </c>
      <c r="D407" s="12" t="s">
        <v>885</v>
      </c>
      <c r="E407" s="12" t="s">
        <v>885</v>
      </c>
      <c r="F407" s="13">
        <v>6426000</v>
      </c>
      <c r="G407" s="14">
        <v>0</v>
      </c>
      <c r="H407" s="9" t="s">
        <v>894</v>
      </c>
      <c r="I407" s="15">
        <v>901212927</v>
      </c>
      <c r="J407" s="16" t="s">
        <v>895</v>
      </c>
      <c r="K407" s="17">
        <v>3000</v>
      </c>
      <c r="L407" s="18" t="s">
        <v>21</v>
      </c>
      <c r="M407" s="19">
        <v>1800</v>
      </c>
      <c r="N407" s="19">
        <f t="shared" si="34"/>
        <v>342</v>
      </c>
      <c r="O407" s="19">
        <f t="shared" si="35"/>
        <v>6426000</v>
      </c>
      <c r="P407" s="17" t="s">
        <v>31</v>
      </c>
      <c r="R407" s="31"/>
    </row>
    <row r="408" spans="1:18" x14ac:dyDescent="0.3">
      <c r="A408" s="9" t="s">
        <v>861</v>
      </c>
      <c r="B408" s="10" t="s">
        <v>896</v>
      </c>
      <c r="C408" s="11" t="s">
        <v>884</v>
      </c>
      <c r="D408" s="12" t="s">
        <v>897</v>
      </c>
      <c r="E408" s="12" t="s">
        <v>897</v>
      </c>
      <c r="F408" s="13">
        <v>15999997</v>
      </c>
      <c r="G408" s="14">
        <v>0</v>
      </c>
      <c r="H408" s="9" t="s">
        <v>886</v>
      </c>
      <c r="I408" s="15">
        <v>901260145</v>
      </c>
      <c r="J408" s="16" t="s">
        <v>898</v>
      </c>
      <c r="K408" s="17">
        <v>400</v>
      </c>
      <c r="L408" s="18" t="s">
        <v>36</v>
      </c>
      <c r="M408" s="19">
        <v>21008.400000000001</v>
      </c>
      <c r="N408" s="19">
        <f t="shared" si="34"/>
        <v>3991.5960000000005</v>
      </c>
      <c r="O408" s="19">
        <f t="shared" si="35"/>
        <v>9999998.4000000004</v>
      </c>
      <c r="P408" s="17" t="s">
        <v>37</v>
      </c>
      <c r="R408" s="31"/>
    </row>
    <row r="409" spans="1:18" x14ac:dyDescent="0.3">
      <c r="A409" s="9" t="s">
        <v>861</v>
      </c>
      <c r="B409" s="10" t="s">
        <v>896</v>
      </c>
      <c r="C409" s="11" t="s">
        <v>884</v>
      </c>
      <c r="D409" s="12" t="s">
        <v>897</v>
      </c>
      <c r="E409" s="12" t="s">
        <v>897</v>
      </c>
      <c r="F409" s="13">
        <v>15999997</v>
      </c>
      <c r="G409" s="14">
        <v>0</v>
      </c>
      <c r="H409" s="9" t="s">
        <v>886</v>
      </c>
      <c r="I409" s="15">
        <v>901260145</v>
      </c>
      <c r="J409" s="16" t="s">
        <v>899</v>
      </c>
      <c r="K409" s="17">
        <v>300</v>
      </c>
      <c r="L409" s="18" t="s">
        <v>36</v>
      </c>
      <c r="M409" s="19">
        <v>16806.72</v>
      </c>
      <c r="N409" s="19">
        <f t="shared" si="34"/>
        <v>3193.2768000000001</v>
      </c>
      <c r="O409" s="19">
        <f t="shared" si="35"/>
        <v>5999999.04</v>
      </c>
      <c r="P409" s="17" t="s">
        <v>37</v>
      </c>
      <c r="R409" s="31"/>
    </row>
    <row r="410" spans="1:18" x14ac:dyDescent="0.3">
      <c r="A410" s="9" t="s">
        <v>861</v>
      </c>
      <c r="B410" s="10" t="s">
        <v>900</v>
      </c>
      <c r="C410" s="11" t="s">
        <v>884</v>
      </c>
      <c r="D410" s="12">
        <v>43938</v>
      </c>
      <c r="E410" s="12">
        <v>43938</v>
      </c>
      <c r="F410" s="13">
        <v>12500000</v>
      </c>
      <c r="G410" s="14">
        <v>0</v>
      </c>
      <c r="H410" s="9" t="s">
        <v>901</v>
      </c>
      <c r="I410" s="15">
        <v>901212927</v>
      </c>
      <c r="J410" s="16" t="s">
        <v>902</v>
      </c>
      <c r="K410" s="17">
        <v>500</v>
      </c>
      <c r="L410" s="18" t="s">
        <v>21</v>
      </c>
      <c r="M410" s="19">
        <v>21008.403399999999</v>
      </c>
      <c r="N410" s="19">
        <f t="shared" si="34"/>
        <v>3991.596646</v>
      </c>
      <c r="O410" s="19">
        <f t="shared" si="35"/>
        <v>12500000.023</v>
      </c>
      <c r="P410" s="17" t="s">
        <v>22</v>
      </c>
      <c r="R410" s="31"/>
    </row>
    <row r="411" spans="1:18" x14ac:dyDescent="0.3">
      <c r="A411" s="9" t="s">
        <v>861</v>
      </c>
      <c r="B411" s="10" t="s">
        <v>903</v>
      </c>
      <c r="C411" s="11" t="s">
        <v>904</v>
      </c>
      <c r="D411" s="12" t="s">
        <v>905</v>
      </c>
      <c r="E411" s="12" t="s">
        <v>905</v>
      </c>
      <c r="F411" s="13">
        <v>75000000</v>
      </c>
      <c r="G411" s="14">
        <v>0</v>
      </c>
      <c r="H411" s="9" t="s">
        <v>906</v>
      </c>
      <c r="I411" s="15">
        <v>900306020</v>
      </c>
      <c r="J411" s="16" t="s">
        <v>907</v>
      </c>
      <c r="K411" s="17">
        <v>30000</v>
      </c>
      <c r="L411" s="18" t="s">
        <v>908</v>
      </c>
      <c r="M411" s="19">
        <v>2100.840336134454</v>
      </c>
      <c r="N411" s="19">
        <f t="shared" si="34"/>
        <v>399.15966386554624</v>
      </c>
      <c r="O411" s="19">
        <f t="shared" si="35"/>
        <v>75000000</v>
      </c>
      <c r="P411" s="17" t="s">
        <v>570</v>
      </c>
      <c r="R411" s="31"/>
    </row>
    <row r="412" spans="1:18" x14ac:dyDescent="0.3">
      <c r="A412" s="9" t="s">
        <v>861</v>
      </c>
      <c r="B412" s="10" t="s">
        <v>909</v>
      </c>
      <c r="C412" s="11" t="s">
        <v>910</v>
      </c>
      <c r="D412" s="12">
        <v>43984</v>
      </c>
      <c r="E412" s="12">
        <v>43984</v>
      </c>
      <c r="F412" s="13">
        <v>4000000</v>
      </c>
      <c r="G412" s="14">
        <v>0</v>
      </c>
      <c r="H412" s="9" t="s">
        <v>911</v>
      </c>
      <c r="I412" s="15">
        <v>901059820</v>
      </c>
      <c r="J412" s="16" t="s">
        <v>912</v>
      </c>
      <c r="K412" s="17">
        <v>22</v>
      </c>
      <c r="L412" s="18" t="s">
        <v>21</v>
      </c>
      <c r="M412" s="19">
        <v>134453.78</v>
      </c>
      <c r="N412" s="19">
        <f t="shared" si="34"/>
        <v>25546.218199999999</v>
      </c>
      <c r="O412" s="19">
        <f t="shared" si="35"/>
        <v>3519999.9604000002</v>
      </c>
      <c r="P412" s="17" t="s">
        <v>82</v>
      </c>
      <c r="R412" s="31"/>
    </row>
    <row r="413" spans="1:18" x14ac:dyDescent="0.3">
      <c r="A413" s="9" t="s">
        <v>861</v>
      </c>
      <c r="B413" s="10" t="s">
        <v>909</v>
      </c>
      <c r="C413" s="11" t="s">
        <v>910</v>
      </c>
      <c r="D413" s="12">
        <v>43984</v>
      </c>
      <c r="E413" s="12">
        <v>43984</v>
      </c>
      <c r="F413" s="13">
        <v>4000000</v>
      </c>
      <c r="G413" s="14">
        <v>0</v>
      </c>
      <c r="H413" s="9" t="s">
        <v>911</v>
      </c>
      <c r="I413" s="15">
        <v>901059820</v>
      </c>
      <c r="J413" s="16" t="s">
        <v>913</v>
      </c>
      <c r="K413" s="17">
        <v>24</v>
      </c>
      <c r="L413" s="18" t="s">
        <v>36</v>
      </c>
      <c r="M413" s="19">
        <v>16806.73</v>
      </c>
      <c r="N413" s="19">
        <f t="shared" si="34"/>
        <v>3193.2786999999998</v>
      </c>
      <c r="O413" s="19">
        <f t="shared" si="35"/>
        <v>480000.20879999996</v>
      </c>
      <c r="P413" s="17" t="s">
        <v>37</v>
      </c>
      <c r="R413" s="31"/>
    </row>
    <row r="414" spans="1:18" x14ac:dyDescent="0.3">
      <c r="A414" s="9" t="s">
        <v>861</v>
      </c>
      <c r="B414" s="10" t="s">
        <v>914</v>
      </c>
      <c r="C414" s="11" t="s">
        <v>915</v>
      </c>
      <c r="D414" s="12">
        <v>43986</v>
      </c>
      <c r="E414" s="12">
        <v>43986</v>
      </c>
      <c r="F414" s="13">
        <v>39927000</v>
      </c>
      <c r="G414" s="14">
        <v>0</v>
      </c>
      <c r="H414" s="9" t="s">
        <v>916</v>
      </c>
      <c r="I414" s="15">
        <v>901031972</v>
      </c>
      <c r="J414" s="16" t="s">
        <v>917</v>
      </c>
      <c r="K414" s="17">
        <v>50</v>
      </c>
      <c r="L414" s="18" t="s">
        <v>21</v>
      </c>
      <c r="M414" s="19">
        <v>300000</v>
      </c>
      <c r="N414" s="19">
        <f t="shared" si="34"/>
        <v>57000</v>
      </c>
      <c r="O414" s="19">
        <f t="shared" si="35"/>
        <v>17850000</v>
      </c>
      <c r="P414" s="17" t="s">
        <v>87</v>
      </c>
      <c r="R414" s="31"/>
    </row>
    <row r="415" spans="1:18" x14ac:dyDescent="0.3">
      <c r="A415" s="9" t="s">
        <v>861</v>
      </c>
      <c r="B415" s="10" t="s">
        <v>914</v>
      </c>
      <c r="C415" s="11" t="s">
        <v>915</v>
      </c>
      <c r="D415" s="12">
        <v>43986</v>
      </c>
      <c r="E415" s="12">
        <v>43986</v>
      </c>
      <c r="F415" s="13">
        <v>39927000</v>
      </c>
      <c r="G415" s="14">
        <v>0</v>
      </c>
      <c r="H415" s="9" t="s">
        <v>916</v>
      </c>
      <c r="I415" s="15">
        <v>901031972</v>
      </c>
      <c r="J415" s="16" t="s">
        <v>918</v>
      </c>
      <c r="K415" s="17">
        <v>3</v>
      </c>
      <c r="L415" s="18" t="s">
        <v>21</v>
      </c>
      <c r="M415" s="19">
        <v>1100000</v>
      </c>
      <c r="N415" s="19">
        <f t="shared" si="34"/>
        <v>209000</v>
      </c>
      <c r="O415" s="19">
        <f t="shared" si="35"/>
        <v>3927000</v>
      </c>
      <c r="P415" s="17" t="s">
        <v>65</v>
      </c>
      <c r="R415" s="31"/>
    </row>
    <row r="416" spans="1:18" x14ac:dyDescent="0.3">
      <c r="A416" s="9" t="s">
        <v>861</v>
      </c>
      <c r="B416" s="10" t="s">
        <v>914</v>
      </c>
      <c r="C416" s="11" t="s">
        <v>915</v>
      </c>
      <c r="D416" s="12">
        <v>43986</v>
      </c>
      <c r="E416" s="12">
        <v>43986</v>
      </c>
      <c r="F416" s="13">
        <v>39927000</v>
      </c>
      <c r="G416" s="14">
        <v>0</v>
      </c>
      <c r="H416" s="9" t="s">
        <v>916</v>
      </c>
      <c r="I416" s="15">
        <v>901031972</v>
      </c>
      <c r="J416" s="16" t="s">
        <v>173</v>
      </c>
      <c r="K416" s="17">
        <v>80</v>
      </c>
      <c r="L416" s="18" t="s">
        <v>70</v>
      </c>
      <c r="M416" s="19">
        <v>45000</v>
      </c>
      <c r="N416" s="19">
        <v>0</v>
      </c>
      <c r="O416" s="19">
        <f t="shared" si="35"/>
        <v>3600000</v>
      </c>
      <c r="P416" s="17" t="s">
        <v>69</v>
      </c>
      <c r="R416" s="31"/>
    </row>
    <row r="417" spans="1:18" x14ac:dyDescent="0.3">
      <c r="A417" s="9" t="s">
        <v>861</v>
      </c>
      <c r="B417" s="10" t="s">
        <v>914</v>
      </c>
      <c r="C417" s="11" t="s">
        <v>915</v>
      </c>
      <c r="D417" s="12">
        <v>43986</v>
      </c>
      <c r="E417" s="12">
        <v>43986</v>
      </c>
      <c r="F417" s="13">
        <v>39927000</v>
      </c>
      <c r="G417" s="14">
        <v>0</v>
      </c>
      <c r="H417" s="9" t="s">
        <v>916</v>
      </c>
      <c r="I417" s="15">
        <v>901031972</v>
      </c>
      <c r="J417" s="16" t="s">
        <v>919</v>
      </c>
      <c r="K417" s="17">
        <v>300</v>
      </c>
      <c r="L417" s="18" t="s">
        <v>21</v>
      </c>
      <c r="M417" s="19">
        <v>10000</v>
      </c>
      <c r="N417" s="19">
        <v>0</v>
      </c>
      <c r="O417" s="19">
        <f t="shared" si="35"/>
        <v>3000000</v>
      </c>
      <c r="P417" s="17" t="s">
        <v>412</v>
      </c>
      <c r="R417" s="31"/>
    </row>
    <row r="418" spans="1:18" x14ac:dyDescent="0.3">
      <c r="A418" s="9" t="s">
        <v>861</v>
      </c>
      <c r="B418" s="10" t="s">
        <v>914</v>
      </c>
      <c r="C418" s="11" t="s">
        <v>915</v>
      </c>
      <c r="D418" s="12">
        <v>43986</v>
      </c>
      <c r="E418" s="12">
        <v>43986</v>
      </c>
      <c r="F418" s="13">
        <v>39927000</v>
      </c>
      <c r="G418" s="14">
        <v>0</v>
      </c>
      <c r="H418" s="9" t="s">
        <v>916</v>
      </c>
      <c r="I418" s="15">
        <v>901031972</v>
      </c>
      <c r="J418" s="16" t="s">
        <v>920</v>
      </c>
      <c r="K418" s="17">
        <v>30</v>
      </c>
      <c r="L418" s="18" t="s">
        <v>21</v>
      </c>
      <c r="M418" s="19">
        <v>385000</v>
      </c>
      <c r="N418" s="19">
        <v>0</v>
      </c>
      <c r="O418" s="19">
        <f t="shared" si="35"/>
        <v>11550000</v>
      </c>
      <c r="P418" s="17" t="s">
        <v>185</v>
      </c>
      <c r="R418" s="31"/>
    </row>
    <row r="419" spans="1:18" x14ac:dyDescent="0.3">
      <c r="A419" s="9" t="s">
        <v>861</v>
      </c>
      <c r="B419" s="10" t="s">
        <v>921</v>
      </c>
      <c r="C419" s="11" t="s">
        <v>922</v>
      </c>
      <c r="D419" s="12">
        <v>43987</v>
      </c>
      <c r="E419" s="12">
        <v>43987</v>
      </c>
      <c r="F419" s="13">
        <v>131250000</v>
      </c>
      <c r="G419" s="14">
        <v>0</v>
      </c>
      <c r="H419" s="9" t="s">
        <v>923</v>
      </c>
      <c r="I419" s="15">
        <v>901220553</v>
      </c>
      <c r="J419" s="16" t="s">
        <v>924</v>
      </c>
      <c r="K419" s="17">
        <v>72000</v>
      </c>
      <c r="L419" s="18" t="s">
        <v>21</v>
      </c>
      <c r="M419" s="19">
        <v>1150</v>
      </c>
      <c r="N419" s="19">
        <v>0</v>
      </c>
      <c r="O419" s="19">
        <f t="shared" si="35"/>
        <v>82800000</v>
      </c>
      <c r="P419" s="17" t="s">
        <v>31</v>
      </c>
      <c r="R419" s="31"/>
    </row>
    <row r="420" spans="1:18" x14ac:dyDescent="0.3">
      <c r="A420" s="9" t="s">
        <v>861</v>
      </c>
      <c r="B420" s="10" t="s">
        <v>921</v>
      </c>
      <c r="C420" s="11" t="s">
        <v>922</v>
      </c>
      <c r="D420" s="12">
        <v>43987</v>
      </c>
      <c r="E420" s="12">
        <v>43987</v>
      </c>
      <c r="F420" s="13">
        <v>131250000</v>
      </c>
      <c r="G420" s="14">
        <v>0</v>
      </c>
      <c r="H420" s="9" t="s">
        <v>923</v>
      </c>
      <c r="I420" s="15">
        <v>901220553</v>
      </c>
      <c r="J420" s="16" t="s">
        <v>925</v>
      </c>
      <c r="K420" s="17">
        <v>1500</v>
      </c>
      <c r="L420" s="18" t="s">
        <v>36</v>
      </c>
      <c r="M420" s="19">
        <v>17800</v>
      </c>
      <c r="N420" s="19">
        <v>0</v>
      </c>
      <c r="O420" s="19">
        <f t="shared" si="35"/>
        <v>26700000</v>
      </c>
      <c r="P420" s="17" t="s">
        <v>37</v>
      </c>
      <c r="R420" s="31"/>
    </row>
    <row r="421" spans="1:18" x14ac:dyDescent="0.3">
      <c r="A421" s="9" t="s">
        <v>861</v>
      </c>
      <c r="B421" s="10" t="s">
        <v>921</v>
      </c>
      <c r="C421" s="11" t="s">
        <v>922</v>
      </c>
      <c r="D421" s="12">
        <v>43987</v>
      </c>
      <c r="E421" s="12">
        <v>43987</v>
      </c>
      <c r="F421" s="13">
        <v>131250000</v>
      </c>
      <c r="G421" s="14">
        <v>0</v>
      </c>
      <c r="H421" s="9" t="s">
        <v>923</v>
      </c>
      <c r="I421" s="15">
        <v>901220553</v>
      </c>
      <c r="J421" s="16" t="s">
        <v>926</v>
      </c>
      <c r="K421" s="17">
        <v>1500</v>
      </c>
      <c r="L421" s="18" t="s">
        <v>36</v>
      </c>
      <c r="M421" s="19">
        <v>14500</v>
      </c>
      <c r="N421" s="19">
        <v>0</v>
      </c>
      <c r="O421" s="19">
        <f t="shared" si="35"/>
        <v>21750000</v>
      </c>
      <c r="P421" s="17" t="s">
        <v>37</v>
      </c>
      <c r="R421" s="31"/>
    </row>
    <row r="422" spans="1:18" x14ac:dyDescent="0.3">
      <c r="A422" s="9" t="s">
        <v>861</v>
      </c>
      <c r="B422" s="10" t="s">
        <v>927</v>
      </c>
      <c r="C422" s="11" t="s">
        <v>928</v>
      </c>
      <c r="D422" s="12">
        <v>43977</v>
      </c>
      <c r="E422" s="12">
        <v>43977</v>
      </c>
      <c r="F422" s="13">
        <v>30414385</v>
      </c>
      <c r="G422" s="14">
        <v>0</v>
      </c>
      <c r="H422" s="9" t="s">
        <v>929</v>
      </c>
      <c r="I422" s="15">
        <v>78761321</v>
      </c>
      <c r="J422" s="16" t="s">
        <v>928</v>
      </c>
      <c r="K422" s="17">
        <v>1</v>
      </c>
      <c r="L422" s="18" t="s">
        <v>569</v>
      </c>
      <c r="M422" s="19">
        <v>30188750</v>
      </c>
      <c r="N422" s="19">
        <v>225635</v>
      </c>
      <c r="O422" s="19">
        <f t="shared" si="35"/>
        <v>30414385</v>
      </c>
      <c r="P422" s="17" t="s">
        <v>155</v>
      </c>
      <c r="R422" s="31"/>
    </row>
    <row r="423" spans="1:18" x14ac:dyDescent="0.3">
      <c r="A423" s="9" t="s">
        <v>861</v>
      </c>
      <c r="B423" s="10" t="s">
        <v>930</v>
      </c>
      <c r="C423" s="11" t="s">
        <v>931</v>
      </c>
      <c r="D423" s="12">
        <v>43998</v>
      </c>
      <c r="E423" s="12">
        <v>43998</v>
      </c>
      <c r="F423" s="13">
        <v>139955340</v>
      </c>
      <c r="G423" s="14">
        <v>0</v>
      </c>
      <c r="H423" s="9" t="s">
        <v>932</v>
      </c>
      <c r="I423" s="15">
        <v>812002952</v>
      </c>
      <c r="J423" s="16" t="s">
        <v>933</v>
      </c>
      <c r="K423" s="17">
        <v>14</v>
      </c>
      <c r="L423" s="18" t="s">
        <v>44</v>
      </c>
      <c r="M423" s="19">
        <v>1666135</v>
      </c>
      <c r="N423" s="19">
        <v>0</v>
      </c>
      <c r="O423" s="19">
        <f>K423*(M423+N423)*6</f>
        <v>139955340</v>
      </c>
      <c r="P423" s="17" t="s">
        <v>45</v>
      </c>
      <c r="Q423" s="55"/>
      <c r="R423" s="31"/>
    </row>
    <row r="424" spans="1:18" x14ac:dyDescent="0.3">
      <c r="A424" s="9" t="s">
        <v>861</v>
      </c>
      <c r="B424" s="10" t="s">
        <v>150</v>
      </c>
      <c r="C424" s="11" t="s">
        <v>934</v>
      </c>
      <c r="D424" s="12">
        <v>43973</v>
      </c>
      <c r="E424" s="12">
        <v>43973</v>
      </c>
      <c r="F424" s="13">
        <v>28720000</v>
      </c>
      <c r="G424" s="14">
        <v>0</v>
      </c>
      <c r="H424" s="9" t="s">
        <v>935</v>
      </c>
      <c r="I424" s="15">
        <v>15354493</v>
      </c>
      <c r="J424" s="16" t="s">
        <v>936</v>
      </c>
      <c r="K424" s="17">
        <v>630</v>
      </c>
      <c r="L424" s="18" t="s">
        <v>70</v>
      </c>
      <c r="M424" s="19">
        <v>45000</v>
      </c>
      <c r="N424" s="19">
        <v>0</v>
      </c>
      <c r="O424" s="19">
        <f t="shared" si="35"/>
        <v>28350000</v>
      </c>
      <c r="P424" s="17" t="s">
        <v>69</v>
      </c>
      <c r="R424" s="31"/>
    </row>
    <row r="425" spans="1:18" x14ac:dyDescent="0.3">
      <c r="A425" s="9" t="s">
        <v>861</v>
      </c>
      <c r="B425" s="10" t="s">
        <v>150</v>
      </c>
      <c r="C425" s="11" t="s">
        <v>934</v>
      </c>
      <c r="D425" s="12">
        <v>43973</v>
      </c>
      <c r="E425" s="12">
        <v>43973</v>
      </c>
      <c r="F425" s="13">
        <v>28720000</v>
      </c>
      <c r="G425" s="14">
        <v>0</v>
      </c>
      <c r="H425" s="9" t="s">
        <v>935</v>
      </c>
      <c r="I425" s="15">
        <v>15354493</v>
      </c>
      <c r="J425" s="16" t="s">
        <v>936</v>
      </c>
      <c r="K425" s="17">
        <v>4</v>
      </c>
      <c r="L425" s="18" t="s">
        <v>70</v>
      </c>
      <c r="M425" s="19">
        <v>25000</v>
      </c>
      <c r="N425" s="19">
        <v>0</v>
      </c>
      <c r="O425" s="19">
        <f t="shared" si="35"/>
        <v>100000</v>
      </c>
      <c r="P425" s="17" t="s">
        <v>69</v>
      </c>
      <c r="R425" s="31"/>
    </row>
    <row r="426" spans="1:18" x14ac:dyDescent="0.3">
      <c r="A426" s="9" t="s">
        <v>861</v>
      </c>
      <c r="B426" s="10" t="s">
        <v>150</v>
      </c>
      <c r="C426" s="11" t="s">
        <v>934</v>
      </c>
      <c r="D426" s="12">
        <v>43973</v>
      </c>
      <c r="E426" s="12">
        <v>43973</v>
      </c>
      <c r="F426" s="13">
        <v>28720000</v>
      </c>
      <c r="G426" s="14">
        <v>0</v>
      </c>
      <c r="H426" s="9" t="s">
        <v>935</v>
      </c>
      <c r="I426" s="15">
        <v>15354493</v>
      </c>
      <c r="J426" s="16" t="s">
        <v>937</v>
      </c>
      <c r="K426" s="17">
        <v>5</v>
      </c>
      <c r="L426" s="18" t="s">
        <v>515</v>
      </c>
      <c r="M426" s="19">
        <v>18487.399999999998</v>
      </c>
      <c r="N426" s="19">
        <f t="shared" ref="N426:N429" si="36">M426*0.19</f>
        <v>3512.6059999999998</v>
      </c>
      <c r="O426" s="19">
        <f t="shared" si="35"/>
        <v>110000.02999999998</v>
      </c>
      <c r="P426" s="17" t="s">
        <v>516</v>
      </c>
      <c r="R426" s="31"/>
    </row>
    <row r="427" spans="1:18" x14ac:dyDescent="0.3">
      <c r="A427" s="9" t="s">
        <v>861</v>
      </c>
      <c r="B427" s="10" t="s">
        <v>150</v>
      </c>
      <c r="C427" s="11" t="s">
        <v>934</v>
      </c>
      <c r="D427" s="12">
        <v>43973</v>
      </c>
      <c r="E427" s="12">
        <v>43973</v>
      </c>
      <c r="F427" s="13">
        <v>28720000</v>
      </c>
      <c r="G427" s="14">
        <v>0</v>
      </c>
      <c r="H427" s="9" t="s">
        <v>935</v>
      </c>
      <c r="I427" s="15">
        <v>15354493</v>
      </c>
      <c r="J427" s="16" t="s">
        <v>938</v>
      </c>
      <c r="K427" s="17">
        <v>5</v>
      </c>
      <c r="L427" s="18" t="s">
        <v>515</v>
      </c>
      <c r="M427" s="19">
        <v>26890.76</v>
      </c>
      <c r="N427" s="19">
        <f t="shared" si="36"/>
        <v>5109.2443999999996</v>
      </c>
      <c r="O427" s="19">
        <f t="shared" si="35"/>
        <v>160000.022</v>
      </c>
      <c r="P427" s="17" t="s">
        <v>516</v>
      </c>
      <c r="R427" s="31"/>
    </row>
    <row r="428" spans="1:18" x14ac:dyDescent="0.3">
      <c r="A428" s="9" t="s">
        <v>861</v>
      </c>
      <c r="B428" s="10" t="s">
        <v>939</v>
      </c>
      <c r="C428" s="11" t="s">
        <v>940</v>
      </c>
      <c r="D428" s="12">
        <v>43980</v>
      </c>
      <c r="E428" s="12">
        <v>43980</v>
      </c>
      <c r="F428" s="13">
        <v>64800000</v>
      </c>
      <c r="G428" s="14">
        <v>0</v>
      </c>
      <c r="H428" s="9" t="s">
        <v>941</v>
      </c>
      <c r="I428" s="15">
        <v>901315614</v>
      </c>
      <c r="J428" s="16" t="s">
        <v>942</v>
      </c>
      <c r="K428" s="17">
        <v>160</v>
      </c>
      <c r="L428" s="18" t="s">
        <v>21</v>
      </c>
      <c r="M428" s="19">
        <v>176470.59</v>
      </c>
      <c r="N428" s="19">
        <f t="shared" si="36"/>
        <v>33529.412100000001</v>
      </c>
      <c r="O428" s="19">
        <f t="shared" si="35"/>
        <v>33600000.335999995</v>
      </c>
      <c r="P428" s="17" t="s">
        <v>120</v>
      </c>
      <c r="R428" s="31"/>
    </row>
    <row r="429" spans="1:18" x14ac:dyDescent="0.3">
      <c r="A429" s="9" t="s">
        <v>861</v>
      </c>
      <c r="B429" s="10" t="s">
        <v>939</v>
      </c>
      <c r="C429" s="11" t="s">
        <v>940</v>
      </c>
      <c r="D429" s="12">
        <v>43980</v>
      </c>
      <c r="E429" s="12">
        <v>43980</v>
      </c>
      <c r="F429" s="13">
        <v>64800000</v>
      </c>
      <c r="G429" s="14">
        <v>0</v>
      </c>
      <c r="H429" s="9" t="s">
        <v>941</v>
      </c>
      <c r="I429" s="15">
        <v>901315614</v>
      </c>
      <c r="J429" s="16" t="s">
        <v>943</v>
      </c>
      <c r="K429" s="17">
        <v>160</v>
      </c>
      <c r="L429" s="18" t="s">
        <v>21</v>
      </c>
      <c r="M429" s="19">
        <v>163865.54999999999</v>
      </c>
      <c r="N429" s="19">
        <f t="shared" si="36"/>
        <v>31134.4545</v>
      </c>
      <c r="O429" s="19">
        <f t="shared" si="35"/>
        <v>31200000.719999999</v>
      </c>
      <c r="P429" s="16" t="s">
        <v>119</v>
      </c>
      <c r="R429" s="31"/>
    </row>
    <row r="430" spans="1:18" x14ac:dyDescent="0.3">
      <c r="A430" s="9" t="s">
        <v>861</v>
      </c>
      <c r="B430" s="10" t="s">
        <v>945</v>
      </c>
      <c r="C430" s="11" t="s">
        <v>946</v>
      </c>
      <c r="D430" s="12">
        <v>44078</v>
      </c>
      <c r="E430" s="12">
        <v>44083</v>
      </c>
      <c r="F430" s="13">
        <v>2344500</v>
      </c>
      <c r="G430" s="14">
        <v>0</v>
      </c>
      <c r="H430" s="9" t="s">
        <v>947</v>
      </c>
      <c r="I430" s="15" t="s">
        <v>948</v>
      </c>
      <c r="J430" s="16" t="s">
        <v>949</v>
      </c>
      <c r="K430" s="17">
        <f>33*12</f>
        <v>396</v>
      </c>
      <c r="L430" s="18" t="s">
        <v>21</v>
      </c>
      <c r="M430" s="19">
        <f>56500/12</f>
        <v>4708.333333333333</v>
      </c>
      <c r="N430" s="19">
        <v>0</v>
      </c>
      <c r="O430" s="19">
        <f t="shared" si="35"/>
        <v>1864499.9999999998</v>
      </c>
      <c r="P430" s="17" t="s">
        <v>412</v>
      </c>
      <c r="R430" s="31"/>
    </row>
    <row r="431" spans="1:18" x14ac:dyDescent="0.3">
      <c r="A431" s="9" t="s">
        <v>861</v>
      </c>
      <c r="B431" s="10" t="s">
        <v>950</v>
      </c>
      <c r="C431" s="11" t="s">
        <v>951</v>
      </c>
      <c r="D431" s="12">
        <v>44084</v>
      </c>
      <c r="E431" s="12">
        <v>44088</v>
      </c>
      <c r="F431" s="13">
        <v>7802320.6500000004</v>
      </c>
      <c r="G431" s="14">
        <v>7802320.6500000004</v>
      </c>
      <c r="H431" s="9" t="s">
        <v>952</v>
      </c>
      <c r="I431" s="15" t="s">
        <v>953</v>
      </c>
      <c r="J431" s="16" t="s">
        <v>69</v>
      </c>
      <c r="K431" s="17">
        <v>190</v>
      </c>
      <c r="L431" s="18" t="s">
        <v>70</v>
      </c>
      <c r="M431" s="19">
        <v>39150</v>
      </c>
      <c r="N431" s="19">
        <v>0</v>
      </c>
      <c r="O431" s="19">
        <f t="shared" si="35"/>
        <v>7438500</v>
      </c>
      <c r="P431" s="17" t="s">
        <v>69</v>
      </c>
      <c r="R431" s="31"/>
    </row>
    <row r="432" spans="1:18" x14ac:dyDescent="0.3">
      <c r="A432" s="9" t="s">
        <v>861</v>
      </c>
      <c r="B432" s="10" t="s">
        <v>954</v>
      </c>
      <c r="C432" s="11" t="s">
        <v>955</v>
      </c>
      <c r="D432" s="12">
        <v>44084</v>
      </c>
      <c r="E432" s="12">
        <v>44089</v>
      </c>
      <c r="F432" s="13">
        <v>5430000</v>
      </c>
      <c r="G432" s="14">
        <v>5430000</v>
      </c>
      <c r="H432" s="9" t="s">
        <v>956</v>
      </c>
      <c r="I432" s="15" t="s">
        <v>953</v>
      </c>
      <c r="J432" s="16" t="s">
        <v>49</v>
      </c>
      <c r="K432" s="17">
        <v>300</v>
      </c>
      <c r="L432" s="18" t="s">
        <v>21</v>
      </c>
      <c r="M432" s="19">
        <v>14900</v>
      </c>
      <c r="N432" s="19">
        <v>0</v>
      </c>
      <c r="O432" s="19">
        <f t="shared" si="35"/>
        <v>4470000</v>
      </c>
      <c r="P432" s="17" t="s">
        <v>31</v>
      </c>
      <c r="R432" s="31"/>
    </row>
    <row r="433" spans="1:18" x14ac:dyDescent="0.3">
      <c r="A433" s="9" t="s">
        <v>861</v>
      </c>
      <c r="B433" s="10" t="s">
        <v>957</v>
      </c>
      <c r="C433" s="11" t="s">
        <v>958</v>
      </c>
      <c r="D433" s="12">
        <v>44098</v>
      </c>
      <c r="E433" s="12">
        <v>44104</v>
      </c>
      <c r="F433" s="13">
        <v>7675228</v>
      </c>
      <c r="G433" s="14">
        <v>0</v>
      </c>
      <c r="H433" s="9" t="s">
        <v>959</v>
      </c>
      <c r="I433" s="15" t="s">
        <v>960</v>
      </c>
      <c r="J433" s="16" t="s">
        <v>961</v>
      </c>
      <c r="K433" s="17">
        <v>1000</v>
      </c>
      <c r="L433" s="18" t="s">
        <v>36</v>
      </c>
      <c r="M433" s="19">
        <v>5939</v>
      </c>
      <c r="N433" s="19">
        <v>0</v>
      </c>
      <c r="O433" s="19">
        <f t="shared" si="35"/>
        <v>5939000</v>
      </c>
      <c r="P433" s="17" t="s">
        <v>37</v>
      </c>
      <c r="R433" s="31"/>
    </row>
    <row r="434" spans="1:18" x14ac:dyDescent="0.3">
      <c r="A434" s="9" t="s">
        <v>861</v>
      </c>
      <c r="B434" s="10" t="s">
        <v>962</v>
      </c>
      <c r="C434" s="11" t="s">
        <v>963</v>
      </c>
      <c r="D434" s="12">
        <v>44098</v>
      </c>
      <c r="E434" s="12">
        <v>44099</v>
      </c>
      <c r="F434" s="13">
        <v>1637560</v>
      </c>
      <c r="G434" s="14">
        <v>0</v>
      </c>
      <c r="H434" s="9" t="s">
        <v>964</v>
      </c>
      <c r="I434" s="15" t="s">
        <v>544</v>
      </c>
      <c r="J434" s="16" t="s">
        <v>58</v>
      </c>
      <c r="K434" s="17">
        <v>400</v>
      </c>
      <c r="L434" s="29" t="s">
        <v>2135</v>
      </c>
      <c r="M434" s="19">
        <v>2810</v>
      </c>
      <c r="N434" s="19">
        <f>M434*0.19</f>
        <v>533.9</v>
      </c>
      <c r="O434" s="19">
        <f t="shared" si="35"/>
        <v>1337560</v>
      </c>
      <c r="P434" s="21" t="s">
        <v>656</v>
      </c>
      <c r="R434" s="31"/>
    </row>
    <row r="435" spans="1:18" x14ac:dyDescent="0.3">
      <c r="A435" s="9" t="s">
        <v>861</v>
      </c>
      <c r="B435" s="10" t="s">
        <v>965</v>
      </c>
      <c r="C435" s="11" t="s">
        <v>966</v>
      </c>
      <c r="D435" s="12">
        <v>44098</v>
      </c>
      <c r="E435" s="12">
        <v>44099</v>
      </c>
      <c r="F435" s="13">
        <v>3130000</v>
      </c>
      <c r="G435" s="14">
        <v>0</v>
      </c>
      <c r="H435" s="9" t="s">
        <v>967</v>
      </c>
      <c r="I435" s="15" t="s">
        <v>968</v>
      </c>
      <c r="J435" s="16" t="s">
        <v>969</v>
      </c>
      <c r="K435" s="46">
        <v>1000</v>
      </c>
      <c r="L435" s="18" t="s">
        <v>36</v>
      </c>
      <c r="M435" s="19">
        <v>2200</v>
      </c>
      <c r="N435" s="19">
        <v>0</v>
      </c>
      <c r="O435" s="19">
        <f t="shared" si="35"/>
        <v>2200000</v>
      </c>
      <c r="P435" s="17" t="s">
        <v>39</v>
      </c>
      <c r="R435" s="31"/>
    </row>
    <row r="436" spans="1:18" x14ac:dyDescent="0.3">
      <c r="A436" s="9" t="s">
        <v>861</v>
      </c>
      <c r="B436" s="10" t="s">
        <v>970</v>
      </c>
      <c r="C436" s="11" t="s">
        <v>971</v>
      </c>
      <c r="D436" s="12">
        <v>44098</v>
      </c>
      <c r="E436" s="12">
        <v>44104</v>
      </c>
      <c r="F436" s="13">
        <v>1076800</v>
      </c>
      <c r="G436" s="14">
        <v>0</v>
      </c>
      <c r="H436" s="9" t="s">
        <v>972</v>
      </c>
      <c r="I436" s="15" t="s">
        <v>973</v>
      </c>
      <c r="J436" s="16" t="s">
        <v>974</v>
      </c>
      <c r="K436" s="17">
        <v>12</v>
      </c>
      <c r="L436" s="18" t="s">
        <v>21</v>
      </c>
      <c r="M436" s="19">
        <v>60000</v>
      </c>
      <c r="N436" s="19">
        <f t="shared" ref="N436:N439" si="37">M436*0.19</f>
        <v>11400</v>
      </c>
      <c r="O436" s="19">
        <f t="shared" si="35"/>
        <v>856800</v>
      </c>
      <c r="P436" s="17" t="s">
        <v>82</v>
      </c>
      <c r="R436" s="31"/>
    </row>
    <row r="437" spans="1:18" x14ac:dyDescent="0.3">
      <c r="A437" s="9" t="s">
        <v>861</v>
      </c>
      <c r="B437" s="10" t="s">
        <v>975</v>
      </c>
      <c r="C437" s="11" t="s">
        <v>976</v>
      </c>
      <c r="D437" s="12">
        <v>44126</v>
      </c>
      <c r="E437" s="12">
        <v>44134</v>
      </c>
      <c r="F437" s="13">
        <v>2962800</v>
      </c>
      <c r="G437" s="14">
        <v>0</v>
      </c>
      <c r="H437" s="9" t="s">
        <v>977</v>
      </c>
      <c r="I437" s="15" t="s">
        <v>978</v>
      </c>
      <c r="J437" s="16" t="s">
        <v>979</v>
      </c>
      <c r="K437" s="17">
        <v>70</v>
      </c>
      <c r="L437" s="18" t="s">
        <v>21</v>
      </c>
      <c r="M437" s="19">
        <v>32353</v>
      </c>
      <c r="N437" s="19">
        <f t="shared" si="37"/>
        <v>6147.07</v>
      </c>
      <c r="O437" s="19">
        <f t="shared" si="35"/>
        <v>2695004.9</v>
      </c>
      <c r="P437" s="17" t="s">
        <v>98</v>
      </c>
      <c r="R437" s="31"/>
    </row>
    <row r="438" spans="1:18" x14ac:dyDescent="0.3">
      <c r="A438" s="9" t="s">
        <v>861</v>
      </c>
      <c r="B438" s="10" t="s">
        <v>975</v>
      </c>
      <c r="C438" s="11" t="s">
        <v>976</v>
      </c>
      <c r="D438" s="12">
        <v>44126</v>
      </c>
      <c r="E438" s="12">
        <v>44134</v>
      </c>
      <c r="F438" s="13">
        <v>2962800</v>
      </c>
      <c r="G438" s="14">
        <v>0</v>
      </c>
      <c r="H438" s="9" t="s">
        <v>977</v>
      </c>
      <c r="I438" s="15" t="s">
        <v>978</v>
      </c>
      <c r="J438" s="16" t="s">
        <v>980</v>
      </c>
      <c r="K438" s="17">
        <v>40</v>
      </c>
      <c r="L438" s="18" t="s">
        <v>471</v>
      </c>
      <c r="M438" s="19">
        <f>103800/40</f>
        <v>2595</v>
      </c>
      <c r="N438" s="19">
        <v>0</v>
      </c>
      <c r="O438" s="19">
        <f t="shared" si="35"/>
        <v>103800</v>
      </c>
      <c r="P438" s="16" t="s">
        <v>647</v>
      </c>
      <c r="R438" s="31"/>
    </row>
    <row r="439" spans="1:18" x14ac:dyDescent="0.3">
      <c r="A439" s="9" t="s">
        <v>861</v>
      </c>
      <c r="B439" s="10" t="s">
        <v>975</v>
      </c>
      <c r="C439" s="11" t="s">
        <v>981</v>
      </c>
      <c r="D439" s="12">
        <v>44126</v>
      </c>
      <c r="E439" s="12">
        <v>44134</v>
      </c>
      <c r="F439" s="13">
        <v>2962800</v>
      </c>
      <c r="G439" s="14">
        <v>0</v>
      </c>
      <c r="H439" s="9" t="s">
        <v>977</v>
      </c>
      <c r="I439" s="15" t="s">
        <v>978</v>
      </c>
      <c r="J439" s="16" t="s">
        <v>982</v>
      </c>
      <c r="K439" s="17">
        <v>40</v>
      </c>
      <c r="L439" s="18" t="s">
        <v>21</v>
      </c>
      <c r="M439" s="19">
        <f>4100/1.19</f>
        <v>3445.3781512605042</v>
      </c>
      <c r="N439" s="19">
        <f t="shared" si="37"/>
        <v>654.62184873949582</v>
      </c>
      <c r="O439" s="19">
        <f t="shared" si="35"/>
        <v>164000</v>
      </c>
      <c r="P439" s="17" t="s">
        <v>869</v>
      </c>
      <c r="R439" s="31"/>
    </row>
    <row r="440" spans="1:18" x14ac:dyDescent="0.3">
      <c r="A440" s="9" t="s">
        <v>861</v>
      </c>
      <c r="B440" s="10" t="s">
        <v>983</v>
      </c>
      <c r="C440" s="11" t="s">
        <v>984</v>
      </c>
      <c r="D440" s="12">
        <v>44168</v>
      </c>
      <c r="E440" s="12">
        <v>44174</v>
      </c>
      <c r="F440" s="13">
        <v>5206249</v>
      </c>
      <c r="G440" s="14">
        <v>0</v>
      </c>
      <c r="H440" s="9" t="s">
        <v>985</v>
      </c>
      <c r="I440" s="15" t="s">
        <v>986</v>
      </c>
      <c r="J440" s="16" t="s">
        <v>969</v>
      </c>
      <c r="K440" s="46">
        <v>1000</v>
      </c>
      <c r="L440" s="18" t="s">
        <v>36</v>
      </c>
      <c r="M440" s="19">
        <f>1895*2</f>
        <v>3790</v>
      </c>
      <c r="N440" s="19">
        <v>0</v>
      </c>
      <c r="O440" s="19">
        <f t="shared" si="35"/>
        <v>3790000</v>
      </c>
      <c r="P440" s="17" t="s">
        <v>39</v>
      </c>
      <c r="R440" s="31"/>
    </row>
    <row r="441" spans="1:18" x14ac:dyDescent="0.3">
      <c r="A441" s="9" t="s">
        <v>861</v>
      </c>
      <c r="B441" s="10" t="s">
        <v>987</v>
      </c>
      <c r="C441" s="11" t="s">
        <v>958</v>
      </c>
      <c r="D441" s="12">
        <v>44168</v>
      </c>
      <c r="E441" s="12">
        <v>44172</v>
      </c>
      <c r="F441" s="13">
        <v>26380000</v>
      </c>
      <c r="G441" s="14">
        <v>0</v>
      </c>
      <c r="H441" s="9" t="s">
        <v>967</v>
      </c>
      <c r="I441" s="15" t="s">
        <v>968</v>
      </c>
      <c r="J441" s="16" t="s">
        <v>961</v>
      </c>
      <c r="K441" s="17">
        <v>2500</v>
      </c>
      <c r="L441" s="18" t="s">
        <v>36</v>
      </c>
      <c r="M441" s="19">
        <v>6420</v>
      </c>
      <c r="N441" s="19">
        <v>0</v>
      </c>
      <c r="O441" s="19">
        <f t="shared" si="35"/>
        <v>16050000</v>
      </c>
      <c r="P441" s="17" t="s">
        <v>37</v>
      </c>
      <c r="R441" s="31"/>
    </row>
    <row r="442" spans="1:18" x14ac:dyDescent="0.3">
      <c r="A442" s="9" t="s">
        <v>861</v>
      </c>
      <c r="B442" s="10" t="s">
        <v>987</v>
      </c>
      <c r="C442" s="11" t="s">
        <v>988</v>
      </c>
      <c r="D442" s="12">
        <v>44168</v>
      </c>
      <c r="E442" s="12">
        <v>44172</v>
      </c>
      <c r="F442" s="13">
        <v>26380000</v>
      </c>
      <c r="G442" s="14">
        <v>0</v>
      </c>
      <c r="H442" s="9" t="s">
        <v>967</v>
      </c>
      <c r="I442" s="15" t="s">
        <v>968</v>
      </c>
      <c r="J442" s="16" t="s">
        <v>37</v>
      </c>
      <c r="K442" s="17">
        <v>1000</v>
      </c>
      <c r="L442" s="18" t="s">
        <v>36</v>
      </c>
      <c r="M442" s="19">
        <v>4070</v>
      </c>
      <c r="N442" s="19">
        <v>0</v>
      </c>
      <c r="O442" s="19">
        <f t="shared" si="35"/>
        <v>4070000</v>
      </c>
      <c r="P442" s="17" t="s">
        <v>37</v>
      </c>
      <c r="R442" s="31"/>
    </row>
    <row r="443" spans="1:18" x14ac:dyDescent="0.3">
      <c r="A443" s="9" t="s">
        <v>861</v>
      </c>
      <c r="B443" s="10" t="s">
        <v>989</v>
      </c>
      <c r="C443" s="11" t="s">
        <v>971</v>
      </c>
      <c r="D443" s="12">
        <v>44168</v>
      </c>
      <c r="E443" s="12">
        <v>44172</v>
      </c>
      <c r="F443" s="13">
        <v>7971420</v>
      </c>
      <c r="G443" s="14">
        <v>0</v>
      </c>
      <c r="H443" s="9" t="s">
        <v>964</v>
      </c>
      <c r="I443" s="15" t="s">
        <v>544</v>
      </c>
      <c r="J443" s="16" t="s">
        <v>58</v>
      </c>
      <c r="K443" s="17">
        <v>2000</v>
      </c>
      <c r="L443" s="29" t="s">
        <v>2135</v>
      </c>
      <c r="M443" s="19">
        <v>3349.3361344537798</v>
      </c>
      <c r="N443" s="19">
        <f t="shared" ref="N443:N444" si="38">M443*0.19</f>
        <v>636.37386554621821</v>
      </c>
      <c r="O443" s="19">
        <f t="shared" si="35"/>
        <v>7971419.9999999963</v>
      </c>
      <c r="P443" s="21" t="s">
        <v>656</v>
      </c>
      <c r="R443" s="31"/>
    </row>
    <row r="444" spans="1:18" x14ac:dyDescent="0.3">
      <c r="A444" s="9" t="s">
        <v>861</v>
      </c>
      <c r="B444" s="10" t="s">
        <v>990</v>
      </c>
      <c r="C444" s="11" t="s">
        <v>991</v>
      </c>
      <c r="D444" s="12">
        <v>44168</v>
      </c>
      <c r="E444" s="12">
        <v>44174</v>
      </c>
      <c r="F444" s="13">
        <v>3700750</v>
      </c>
      <c r="G444" s="14">
        <v>0</v>
      </c>
      <c r="H444" s="9" t="s">
        <v>401</v>
      </c>
      <c r="I444" s="15" t="s">
        <v>992</v>
      </c>
      <c r="J444" s="16" t="s">
        <v>993</v>
      </c>
      <c r="K444" s="17">
        <v>250</v>
      </c>
      <c r="L444" s="18" t="s">
        <v>515</v>
      </c>
      <c r="M444" s="19">
        <f>5850*2</f>
        <v>11700</v>
      </c>
      <c r="N444" s="19">
        <f t="shared" si="38"/>
        <v>2223</v>
      </c>
      <c r="O444" s="19">
        <f t="shared" si="35"/>
        <v>3480750</v>
      </c>
      <c r="P444" s="17" t="s">
        <v>516</v>
      </c>
      <c r="R444" s="31"/>
    </row>
    <row r="445" spans="1:18" x14ac:dyDescent="0.3">
      <c r="A445" s="9" t="s">
        <v>861</v>
      </c>
      <c r="B445" s="10" t="s">
        <v>994</v>
      </c>
      <c r="C445" s="11" t="s">
        <v>955</v>
      </c>
      <c r="D445" s="12">
        <v>44169</v>
      </c>
      <c r="E445" s="12">
        <v>44175</v>
      </c>
      <c r="F445" s="13">
        <v>9790000</v>
      </c>
      <c r="G445" s="14">
        <v>0</v>
      </c>
      <c r="H445" s="9" t="s">
        <v>995</v>
      </c>
      <c r="I445" s="15" t="s">
        <v>996</v>
      </c>
      <c r="J445" s="16" t="s">
        <v>49</v>
      </c>
      <c r="K445" s="17">
        <v>1000</v>
      </c>
      <c r="L445" s="18" t="s">
        <v>21</v>
      </c>
      <c r="M445" s="19">
        <v>8990</v>
      </c>
      <c r="N445" s="19">
        <v>0</v>
      </c>
      <c r="O445" s="19">
        <f t="shared" si="35"/>
        <v>8990000</v>
      </c>
      <c r="P445" s="17" t="s">
        <v>31</v>
      </c>
      <c r="R445" s="31"/>
    </row>
    <row r="446" spans="1:18" x14ac:dyDescent="0.3">
      <c r="A446" s="9" t="s">
        <v>861</v>
      </c>
      <c r="B446" s="10" t="s">
        <v>997</v>
      </c>
      <c r="C446" s="11" t="s">
        <v>951</v>
      </c>
      <c r="D446" s="12">
        <v>44175</v>
      </c>
      <c r="E446" s="12">
        <v>44179</v>
      </c>
      <c r="F446" s="13">
        <v>15510000</v>
      </c>
      <c r="G446" s="14">
        <v>7755000</v>
      </c>
      <c r="H446" s="9" t="s">
        <v>998</v>
      </c>
      <c r="I446" s="15" t="s">
        <v>999</v>
      </c>
      <c r="J446" s="16" t="s">
        <v>69</v>
      </c>
      <c r="K446" s="17">
        <v>300</v>
      </c>
      <c r="L446" s="18" t="s">
        <v>70</v>
      </c>
      <c r="M446" s="19">
        <v>49800</v>
      </c>
      <c r="N446" s="19">
        <v>0</v>
      </c>
      <c r="O446" s="19">
        <f t="shared" si="35"/>
        <v>14940000</v>
      </c>
      <c r="P446" s="17" t="s">
        <v>69</v>
      </c>
      <c r="R446" s="31"/>
    </row>
    <row r="447" spans="1:18" x14ac:dyDescent="0.3">
      <c r="A447" s="9" t="s">
        <v>861</v>
      </c>
      <c r="B447" s="10" t="s">
        <v>1000</v>
      </c>
      <c r="C447" s="11" t="s">
        <v>1816</v>
      </c>
      <c r="D447" s="12">
        <v>44180</v>
      </c>
      <c r="E447" s="12">
        <v>44181</v>
      </c>
      <c r="F447" s="13">
        <v>24955000</v>
      </c>
      <c r="G447" s="14">
        <v>0</v>
      </c>
      <c r="H447" s="9" t="s">
        <v>1001</v>
      </c>
      <c r="I447" s="15" t="s">
        <v>1002</v>
      </c>
      <c r="J447" s="16" t="s">
        <v>1003</v>
      </c>
      <c r="K447" s="17">
        <v>30</v>
      </c>
      <c r="L447" s="18" t="s">
        <v>21</v>
      </c>
      <c r="M447" s="19">
        <v>150000</v>
      </c>
      <c r="N447" s="19">
        <f t="shared" ref="N447:N454" si="39">M447*0.19</f>
        <v>28500</v>
      </c>
      <c r="O447" s="19">
        <f t="shared" si="35"/>
        <v>5355000</v>
      </c>
      <c r="P447" s="17" t="s">
        <v>87</v>
      </c>
      <c r="R447" s="31"/>
    </row>
    <row r="448" spans="1:18" x14ac:dyDescent="0.3">
      <c r="A448" s="9" t="s">
        <v>861</v>
      </c>
      <c r="B448" s="10" t="s">
        <v>1000</v>
      </c>
      <c r="C448" s="11" t="s">
        <v>1816</v>
      </c>
      <c r="D448" s="12">
        <v>44180</v>
      </c>
      <c r="E448" s="12">
        <v>44181</v>
      </c>
      <c r="F448" s="13">
        <v>24955000</v>
      </c>
      <c r="G448" s="14">
        <v>0</v>
      </c>
      <c r="H448" s="9" t="s">
        <v>1001</v>
      </c>
      <c r="I448" s="15" t="s">
        <v>1002</v>
      </c>
      <c r="J448" s="16" t="s">
        <v>1004</v>
      </c>
      <c r="K448" s="17">
        <v>20</v>
      </c>
      <c r="L448" s="18" t="s">
        <v>21</v>
      </c>
      <c r="M448" s="19">
        <v>823529</v>
      </c>
      <c r="N448" s="19">
        <f t="shared" si="39"/>
        <v>156470.51</v>
      </c>
      <c r="O448" s="19">
        <f t="shared" si="35"/>
        <v>19599990.199999999</v>
      </c>
      <c r="P448" s="17" t="s">
        <v>65</v>
      </c>
      <c r="R448" s="31"/>
    </row>
    <row r="449" spans="1:18" x14ac:dyDescent="0.3">
      <c r="A449" s="9" t="s">
        <v>1006</v>
      </c>
      <c r="B449" s="10" t="s">
        <v>1007</v>
      </c>
      <c r="C449" s="11" t="s">
        <v>1008</v>
      </c>
      <c r="D449" s="12">
        <v>43909</v>
      </c>
      <c r="E449" s="12">
        <v>43915</v>
      </c>
      <c r="F449" s="13">
        <v>92450981</v>
      </c>
      <c r="G449" s="14">
        <v>0</v>
      </c>
      <c r="H449" s="9" t="s">
        <v>1009</v>
      </c>
      <c r="I449" s="15">
        <v>813005241</v>
      </c>
      <c r="J449" s="16" t="s">
        <v>1010</v>
      </c>
      <c r="K449" s="17">
        <v>400</v>
      </c>
      <c r="L449" s="18" t="s">
        <v>21</v>
      </c>
      <c r="M449" s="19">
        <v>16807</v>
      </c>
      <c r="N449" s="19">
        <f t="shared" si="39"/>
        <v>3193.33</v>
      </c>
      <c r="O449" s="19">
        <f t="shared" si="35"/>
        <v>8000132.0000000009</v>
      </c>
      <c r="P449" s="17" t="s">
        <v>22</v>
      </c>
      <c r="R449" s="31"/>
    </row>
    <row r="450" spans="1:18" x14ac:dyDescent="0.3">
      <c r="A450" s="9" t="s">
        <v>1006</v>
      </c>
      <c r="B450" s="10" t="s">
        <v>1007</v>
      </c>
      <c r="C450" s="11" t="s">
        <v>1008</v>
      </c>
      <c r="D450" s="12">
        <v>43909</v>
      </c>
      <c r="E450" s="12">
        <v>43915</v>
      </c>
      <c r="F450" s="13">
        <v>92450981</v>
      </c>
      <c r="G450" s="14">
        <v>0</v>
      </c>
      <c r="H450" s="9" t="s">
        <v>1009</v>
      </c>
      <c r="I450" s="15">
        <v>813005241</v>
      </c>
      <c r="J450" s="16" t="s">
        <v>1878</v>
      </c>
      <c r="K450" s="17">
        <v>300</v>
      </c>
      <c r="L450" s="18" t="s">
        <v>70</v>
      </c>
      <c r="M450" s="19">
        <v>42017</v>
      </c>
      <c r="N450" s="19">
        <f t="shared" si="39"/>
        <v>7983.2300000000005</v>
      </c>
      <c r="O450" s="19">
        <f t="shared" si="35"/>
        <v>15000069.000000002</v>
      </c>
      <c r="P450" s="17" t="s">
        <v>69</v>
      </c>
      <c r="R450" s="31"/>
    </row>
    <row r="451" spans="1:18" x14ac:dyDescent="0.3">
      <c r="A451" s="9" t="s">
        <v>1006</v>
      </c>
      <c r="B451" s="10" t="s">
        <v>1007</v>
      </c>
      <c r="C451" s="11" t="s">
        <v>1008</v>
      </c>
      <c r="D451" s="12">
        <v>43909</v>
      </c>
      <c r="E451" s="12">
        <v>43915</v>
      </c>
      <c r="F451" s="13">
        <v>92450981</v>
      </c>
      <c r="G451" s="14">
        <v>0</v>
      </c>
      <c r="H451" s="9" t="s">
        <v>1009</v>
      </c>
      <c r="I451" s="15">
        <v>813005241</v>
      </c>
      <c r="J451" s="16" t="s">
        <v>1879</v>
      </c>
      <c r="K451" s="17">
        <v>300</v>
      </c>
      <c r="L451" s="18" t="s">
        <v>70</v>
      </c>
      <c r="M451" s="19">
        <v>42017</v>
      </c>
      <c r="N451" s="19">
        <f t="shared" si="39"/>
        <v>7983.2300000000005</v>
      </c>
      <c r="O451" s="19">
        <f t="shared" si="35"/>
        <v>15000069.000000002</v>
      </c>
      <c r="P451" s="17" t="s">
        <v>69</v>
      </c>
      <c r="R451" s="31"/>
    </row>
    <row r="452" spans="1:18" x14ac:dyDescent="0.3">
      <c r="A452" s="9" t="s">
        <v>1006</v>
      </c>
      <c r="B452" s="10" t="s">
        <v>1007</v>
      </c>
      <c r="C452" s="11" t="s">
        <v>1008</v>
      </c>
      <c r="D452" s="12">
        <v>43909</v>
      </c>
      <c r="E452" s="12">
        <v>43915</v>
      </c>
      <c r="F452" s="13">
        <v>92450981</v>
      </c>
      <c r="G452" s="14">
        <v>0</v>
      </c>
      <c r="H452" s="9" t="s">
        <v>1009</v>
      </c>
      <c r="I452" s="15">
        <v>813005241</v>
      </c>
      <c r="J452" s="16" t="s">
        <v>1880</v>
      </c>
      <c r="K452" s="17">
        <v>1500</v>
      </c>
      <c r="L452" s="29" t="s">
        <v>2135</v>
      </c>
      <c r="M452" s="19">
        <v>6975</v>
      </c>
      <c r="N452" s="19">
        <f t="shared" si="39"/>
        <v>1325.25</v>
      </c>
      <c r="O452" s="19">
        <f t="shared" ref="O452:O523" si="40">K452*(M452+N452)</f>
        <v>12450375</v>
      </c>
      <c r="P452" s="21" t="s">
        <v>656</v>
      </c>
      <c r="R452" s="31"/>
    </row>
    <row r="453" spans="1:18" x14ac:dyDescent="0.3">
      <c r="A453" s="9" t="s">
        <v>1006</v>
      </c>
      <c r="B453" s="10" t="s">
        <v>1007</v>
      </c>
      <c r="C453" s="11" t="s">
        <v>1008</v>
      </c>
      <c r="D453" s="12">
        <v>43909</v>
      </c>
      <c r="E453" s="12">
        <v>43915</v>
      </c>
      <c r="F453" s="13">
        <v>92450981</v>
      </c>
      <c r="G453" s="14">
        <v>0</v>
      </c>
      <c r="H453" s="9" t="s">
        <v>1009</v>
      </c>
      <c r="I453" s="15">
        <v>813005241</v>
      </c>
      <c r="J453" s="16" t="s">
        <v>35</v>
      </c>
      <c r="K453" s="17">
        <v>2280</v>
      </c>
      <c r="L453" s="18" t="s">
        <v>36</v>
      </c>
      <c r="M453" s="19">
        <v>15480</v>
      </c>
      <c r="N453" s="19">
        <f t="shared" si="39"/>
        <v>2941.2</v>
      </c>
      <c r="O453" s="19">
        <f t="shared" si="40"/>
        <v>42000336</v>
      </c>
      <c r="P453" s="17" t="s">
        <v>37</v>
      </c>
      <c r="R453" s="31"/>
    </row>
    <row r="454" spans="1:18" x14ac:dyDescent="0.3">
      <c r="A454" s="9" t="s">
        <v>1006</v>
      </c>
      <c r="B454" s="10" t="s">
        <v>1011</v>
      </c>
      <c r="C454" s="11" t="s">
        <v>1008</v>
      </c>
      <c r="D454" s="12">
        <v>43910</v>
      </c>
      <c r="E454" s="12">
        <v>43920</v>
      </c>
      <c r="F454" s="13">
        <v>20230000</v>
      </c>
      <c r="G454" s="14">
        <v>0</v>
      </c>
      <c r="H454" s="9" t="s">
        <v>1012</v>
      </c>
      <c r="I454" s="15">
        <v>51684220</v>
      </c>
      <c r="J454" s="16" t="s">
        <v>1881</v>
      </c>
      <c r="K454" s="17">
        <v>10</v>
      </c>
      <c r="L454" s="18" t="s">
        <v>21</v>
      </c>
      <c r="M454" s="19">
        <v>1700000</v>
      </c>
      <c r="N454" s="19">
        <f t="shared" si="39"/>
        <v>323000</v>
      </c>
      <c r="O454" s="19">
        <f t="shared" si="40"/>
        <v>20230000</v>
      </c>
      <c r="P454" s="17" t="s">
        <v>65</v>
      </c>
      <c r="R454" s="31"/>
    </row>
    <row r="455" spans="1:18" x14ac:dyDescent="0.3">
      <c r="A455" s="9" t="s">
        <v>1006</v>
      </c>
      <c r="B455" s="10" t="s">
        <v>1013</v>
      </c>
      <c r="C455" s="11" t="s">
        <v>1008</v>
      </c>
      <c r="D455" s="12">
        <v>43910</v>
      </c>
      <c r="E455" s="12">
        <v>43915</v>
      </c>
      <c r="F455" s="13">
        <v>15600000</v>
      </c>
      <c r="G455" s="14">
        <v>0</v>
      </c>
      <c r="H455" s="9" t="s">
        <v>1014</v>
      </c>
      <c r="I455" s="15">
        <v>900920737</v>
      </c>
      <c r="J455" s="16" t="s">
        <v>1015</v>
      </c>
      <c r="K455" s="17">
        <v>6240</v>
      </c>
      <c r="L455" s="18" t="s">
        <v>21</v>
      </c>
      <c r="M455" s="19">
        <v>2500</v>
      </c>
      <c r="N455" s="19">
        <v>0</v>
      </c>
      <c r="O455" s="19">
        <f t="shared" si="40"/>
        <v>15600000</v>
      </c>
      <c r="P455" s="17" t="s">
        <v>31</v>
      </c>
      <c r="R455" s="31"/>
    </row>
    <row r="456" spans="1:18" x14ac:dyDescent="0.3">
      <c r="A456" s="9" t="s">
        <v>1006</v>
      </c>
      <c r="B456" s="10" t="s">
        <v>1016</v>
      </c>
      <c r="C456" s="11" t="s">
        <v>1008</v>
      </c>
      <c r="D456" s="12">
        <v>43920</v>
      </c>
      <c r="E456" s="12">
        <v>43922</v>
      </c>
      <c r="F456" s="13">
        <v>12050000</v>
      </c>
      <c r="G456" s="14">
        <v>0</v>
      </c>
      <c r="H456" s="9" t="s">
        <v>1017</v>
      </c>
      <c r="I456" s="15">
        <v>901002888</v>
      </c>
      <c r="J456" s="16" t="s">
        <v>35</v>
      </c>
      <c r="K456" s="17">
        <v>300</v>
      </c>
      <c r="L456" s="18" t="s">
        <v>36</v>
      </c>
      <c r="M456" s="19">
        <v>18000</v>
      </c>
      <c r="N456" s="19">
        <v>0</v>
      </c>
      <c r="O456" s="19">
        <f t="shared" si="40"/>
        <v>5400000</v>
      </c>
      <c r="P456" s="17" t="s">
        <v>37</v>
      </c>
      <c r="R456" s="31"/>
    </row>
    <row r="457" spans="1:18" x14ac:dyDescent="0.3">
      <c r="A457" s="9" t="s">
        <v>1006</v>
      </c>
      <c r="B457" s="10" t="s">
        <v>1016</v>
      </c>
      <c r="C457" s="11" t="s">
        <v>1008</v>
      </c>
      <c r="D457" s="12">
        <v>43920</v>
      </c>
      <c r="E457" s="12">
        <v>43922</v>
      </c>
      <c r="F457" s="13">
        <v>12050000</v>
      </c>
      <c r="G457" s="14">
        <v>0</v>
      </c>
      <c r="H457" s="9" t="s">
        <v>1017</v>
      </c>
      <c r="I457" s="15">
        <v>901002888</v>
      </c>
      <c r="J457" s="16" t="s">
        <v>1018</v>
      </c>
      <c r="K457" s="46">
        <v>700</v>
      </c>
      <c r="L457" s="18" t="s">
        <v>36</v>
      </c>
      <c r="M457" s="19">
        <v>9500</v>
      </c>
      <c r="N457" s="19">
        <v>0</v>
      </c>
      <c r="O457" s="19">
        <f t="shared" si="40"/>
        <v>6650000</v>
      </c>
      <c r="P457" s="17" t="s">
        <v>39</v>
      </c>
      <c r="R457" s="31"/>
    </row>
    <row r="458" spans="1:18" x14ac:dyDescent="0.3">
      <c r="A458" s="9" t="s">
        <v>1006</v>
      </c>
      <c r="B458" s="10" t="s">
        <v>1019</v>
      </c>
      <c r="C458" s="11" t="s">
        <v>1008</v>
      </c>
      <c r="D458" s="12">
        <v>43920</v>
      </c>
      <c r="E458" s="12">
        <v>43922</v>
      </c>
      <c r="F458" s="13">
        <v>26949480</v>
      </c>
      <c r="G458" s="14">
        <v>0</v>
      </c>
      <c r="H458" s="9" t="s">
        <v>1020</v>
      </c>
      <c r="I458" s="15">
        <v>900916649</v>
      </c>
      <c r="J458" s="16" t="s">
        <v>207</v>
      </c>
      <c r="K458" s="17">
        <f>(636*700)/1000</f>
        <v>445.2</v>
      </c>
      <c r="L458" s="18" t="s">
        <v>36</v>
      </c>
      <c r="M458" s="19">
        <f>(12500*1000)/700</f>
        <v>17857.142857142859</v>
      </c>
      <c r="N458" s="19">
        <v>0</v>
      </c>
      <c r="O458" s="19">
        <f t="shared" si="40"/>
        <v>7950000.0000000009</v>
      </c>
      <c r="P458" s="17" t="s">
        <v>161</v>
      </c>
      <c r="R458" s="31"/>
    </row>
    <row r="459" spans="1:18" x14ac:dyDescent="0.3">
      <c r="A459" s="9" t="s">
        <v>1006</v>
      </c>
      <c r="B459" s="10" t="s">
        <v>1019</v>
      </c>
      <c r="C459" s="11" t="s">
        <v>1008</v>
      </c>
      <c r="D459" s="12">
        <v>43920</v>
      </c>
      <c r="E459" s="12">
        <v>43922</v>
      </c>
      <c r="F459" s="13">
        <v>26949480</v>
      </c>
      <c r="G459" s="14">
        <v>0</v>
      </c>
      <c r="H459" s="9" t="s">
        <v>1020</v>
      </c>
      <c r="I459" s="15">
        <v>900916649</v>
      </c>
      <c r="J459" s="16" t="s">
        <v>1882</v>
      </c>
      <c r="K459" s="17">
        <v>400</v>
      </c>
      <c r="L459" s="18" t="s">
        <v>36</v>
      </c>
      <c r="M459" s="19">
        <v>47500</v>
      </c>
      <c r="N459" s="19">
        <v>0</v>
      </c>
      <c r="O459" s="19">
        <f t="shared" si="40"/>
        <v>19000000</v>
      </c>
      <c r="P459" s="17" t="s">
        <v>875</v>
      </c>
      <c r="R459" s="31"/>
    </row>
    <row r="460" spans="1:18" x14ac:dyDescent="0.3">
      <c r="A460" s="9" t="s">
        <v>1006</v>
      </c>
      <c r="B460" s="10" t="s">
        <v>1021</v>
      </c>
      <c r="C460" s="11" t="s">
        <v>1022</v>
      </c>
      <c r="D460" s="12">
        <v>43971</v>
      </c>
      <c r="E460" s="12">
        <v>43978</v>
      </c>
      <c r="F460" s="13">
        <v>38340000</v>
      </c>
      <c r="G460" s="14">
        <v>0</v>
      </c>
      <c r="H460" s="9" t="s">
        <v>1009</v>
      </c>
      <c r="I460" s="15">
        <v>813005241</v>
      </c>
      <c r="J460" s="16" t="s">
        <v>1883</v>
      </c>
      <c r="K460" s="17">
        <v>99</v>
      </c>
      <c r="L460" s="18" t="s">
        <v>70</v>
      </c>
      <c r="M460" s="19">
        <v>40000</v>
      </c>
      <c r="N460" s="19">
        <v>0</v>
      </c>
      <c r="O460" s="19">
        <f t="shared" si="40"/>
        <v>3960000</v>
      </c>
      <c r="P460" s="17" t="s">
        <v>69</v>
      </c>
      <c r="R460" s="31"/>
    </row>
    <row r="461" spans="1:18" x14ac:dyDescent="0.3">
      <c r="A461" s="9" t="s">
        <v>1006</v>
      </c>
      <c r="B461" s="10" t="s">
        <v>1021</v>
      </c>
      <c r="C461" s="11" t="s">
        <v>1022</v>
      </c>
      <c r="D461" s="12">
        <v>43971</v>
      </c>
      <c r="E461" s="12">
        <v>43978</v>
      </c>
      <c r="F461" s="13">
        <v>38340000</v>
      </c>
      <c r="G461" s="14">
        <v>0</v>
      </c>
      <c r="H461" s="9" t="s">
        <v>1009</v>
      </c>
      <c r="I461" s="15">
        <v>813005241</v>
      </c>
      <c r="J461" s="16" t="s">
        <v>1884</v>
      </c>
      <c r="K461" s="17">
        <v>3500</v>
      </c>
      <c r="L461" s="29" t="s">
        <v>2135</v>
      </c>
      <c r="M461" s="19">
        <v>5200</v>
      </c>
      <c r="N461" s="19">
        <v>0</v>
      </c>
      <c r="O461" s="19">
        <f t="shared" si="40"/>
        <v>18200000</v>
      </c>
      <c r="P461" s="21" t="s">
        <v>656</v>
      </c>
      <c r="R461" s="31"/>
    </row>
    <row r="462" spans="1:18" x14ac:dyDescent="0.3">
      <c r="A462" s="9" t="s">
        <v>1006</v>
      </c>
      <c r="B462" s="10" t="s">
        <v>1021</v>
      </c>
      <c r="C462" s="11" t="s">
        <v>1022</v>
      </c>
      <c r="D462" s="12">
        <v>43971</v>
      </c>
      <c r="E462" s="12">
        <v>43978</v>
      </c>
      <c r="F462" s="13">
        <v>38340000</v>
      </c>
      <c r="G462" s="14">
        <v>0</v>
      </c>
      <c r="H462" s="9" t="s">
        <v>1009</v>
      </c>
      <c r="I462" s="15">
        <v>813005241</v>
      </c>
      <c r="J462" s="16" t="s">
        <v>1885</v>
      </c>
      <c r="K462" s="17">
        <v>600</v>
      </c>
      <c r="L462" s="18" t="s">
        <v>21</v>
      </c>
      <c r="M462" s="19">
        <v>7000</v>
      </c>
      <c r="N462" s="19">
        <v>0</v>
      </c>
      <c r="O462" s="19">
        <f t="shared" si="40"/>
        <v>4200000</v>
      </c>
      <c r="P462" s="17" t="s">
        <v>412</v>
      </c>
      <c r="R462" s="31"/>
    </row>
    <row r="463" spans="1:18" x14ac:dyDescent="0.3">
      <c r="A463" s="9" t="s">
        <v>1006</v>
      </c>
      <c r="B463" s="10" t="s">
        <v>1021</v>
      </c>
      <c r="C463" s="11" t="s">
        <v>1022</v>
      </c>
      <c r="D463" s="12">
        <v>43971</v>
      </c>
      <c r="E463" s="12">
        <v>43978</v>
      </c>
      <c r="F463" s="13">
        <v>38340000</v>
      </c>
      <c r="G463" s="14">
        <v>0</v>
      </c>
      <c r="H463" s="9" t="s">
        <v>1009</v>
      </c>
      <c r="I463" s="15">
        <v>813005241</v>
      </c>
      <c r="J463" s="16" t="s">
        <v>1023</v>
      </c>
      <c r="K463" s="17">
        <v>8</v>
      </c>
      <c r="L463" s="18" t="s">
        <v>21</v>
      </c>
      <c r="M463" s="19">
        <v>360000</v>
      </c>
      <c r="N463" s="19">
        <v>0</v>
      </c>
      <c r="O463" s="19">
        <f t="shared" si="40"/>
        <v>2880000</v>
      </c>
      <c r="P463" s="17" t="s">
        <v>185</v>
      </c>
      <c r="R463" s="31"/>
    </row>
    <row r="464" spans="1:18" x14ac:dyDescent="0.3">
      <c r="A464" s="9" t="s">
        <v>1006</v>
      </c>
      <c r="B464" s="10" t="s">
        <v>1021</v>
      </c>
      <c r="C464" s="11" t="s">
        <v>1022</v>
      </c>
      <c r="D464" s="12">
        <v>43971</v>
      </c>
      <c r="E464" s="12">
        <v>43978</v>
      </c>
      <c r="F464" s="13">
        <v>38340000</v>
      </c>
      <c r="G464" s="14">
        <v>0</v>
      </c>
      <c r="H464" s="9" t="s">
        <v>1009</v>
      </c>
      <c r="I464" s="15">
        <v>813005241</v>
      </c>
      <c r="J464" s="16" t="s">
        <v>1886</v>
      </c>
      <c r="K464" s="17">
        <v>7</v>
      </c>
      <c r="L464" s="18" t="s">
        <v>21</v>
      </c>
      <c r="M464" s="19">
        <v>1300000</v>
      </c>
      <c r="N464" s="19">
        <v>0</v>
      </c>
      <c r="O464" s="19">
        <f t="shared" si="40"/>
        <v>9100000</v>
      </c>
      <c r="P464" s="17" t="s">
        <v>185</v>
      </c>
      <c r="R464" s="31"/>
    </row>
    <row r="465" spans="1:18" x14ac:dyDescent="0.3">
      <c r="A465" s="9" t="s">
        <v>1006</v>
      </c>
      <c r="B465" s="10" t="s">
        <v>1024</v>
      </c>
      <c r="C465" s="11" t="s">
        <v>1022</v>
      </c>
      <c r="D465" s="12">
        <v>43971</v>
      </c>
      <c r="E465" s="12">
        <v>43978</v>
      </c>
      <c r="F465" s="13">
        <v>9683640</v>
      </c>
      <c r="G465" s="14">
        <v>0</v>
      </c>
      <c r="H465" s="9" t="s">
        <v>1025</v>
      </c>
      <c r="I465" s="15">
        <v>830094214</v>
      </c>
      <c r="J465" s="16" t="s">
        <v>1887</v>
      </c>
      <c r="K465" s="17">
        <v>342</v>
      </c>
      <c r="L465" s="18" t="s">
        <v>36</v>
      </c>
      <c r="M465" s="19">
        <v>13500</v>
      </c>
      <c r="N465" s="19">
        <v>0</v>
      </c>
      <c r="O465" s="19">
        <f t="shared" si="40"/>
        <v>4617000</v>
      </c>
      <c r="P465" s="17" t="s">
        <v>37</v>
      </c>
      <c r="R465" s="31"/>
    </row>
    <row r="466" spans="1:18" x14ac:dyDescent="0.3">
      <c r="A466" s="9" t="s">
        <v>1006</v>
      </c>
      <c r="B466" s="10" t="s">
        <v>1024</v>
      </c>
      <c r="C466" s="11" t="s">
        <v>1022</v>
      </c>
      <c r="D466" s="12">
        <v>43971</v>
      </c>
      <c r="E466" s="12">
        <v>43978</v>
      </c>
      <c r="F466" s="13">
        <v>9683640</v>
      </c>
      <c r="G466" s="14">
        <v>0</v>
      </c>
      <c r="H466" s="9" t="s">
        <v>1025</v>
      </c>
      <c r="I466" s="15">
        <v>830094214</v>
      </c>
      <c r="J466" s="16" t="s">
        <v>1888</v>
      </c>
      <c r="K466" s="17">
        <v>40</v>
      </c>
      <c r="L466" s="18" t="s">
        <v>21</v>
      </c>
      <c r="M466" s="19">
        <v>76666</v>
      </c>
      <c r="N466" s="19">
        <v>0</v>
      </c>
      <c r="O466" s="19">
        <f t="shared" si="40"/>
        <v>3066640</v>
      </c>
      <c r="P466" s="17" t="s">
        <v>82</v>
      </c>
      <c r="R466" s="31"/>
    </row>
    <row r="467" spans="1:18" x14ac:dyDescent="0.3">
      <c r="A467" s="9" t="s">
        <v>1006</v>
      </c>
      <c r="B467" s="10" t="s">
        <v>1024</v>
      </c>
      <c r="C467" s="11" t="s">
        <v>1022</v>
      </c>
      <c r="D467" s="12">
        <v>43971</v>
      </c>
      <c r="E467" s="12">
        <v>43978</v>
      </c>
      <c r="F467" s="13">
        <v>9683640</v>
      </c>
      <c r="G467" s="14">
        <v>0</v>
      </c>
      <c r="H467" s="9" t="s">
        <v>1025</v>
      </c>
      <c r="I467" s="15">
        <v>830094214</v>
      </c>
      <c r="J467" s="16" t="s">
        <v>1889</v>
      </c>
      <c r="K467" s="17">
        <v>40</v>
      </c>
      <c r="L467" s="18" t="s">
        <v>21</v>
      </c>
      <c r="M467" s="19">
        <v>50000</v>
      </c>
      <c r="N467" s="19">
        <v>0</v>
      </c>
      <c r="O467" s="19">
        <f t="shared" si="40"/>
        <v>2000000</v>
      </c>
      <c r="P467" s="17" t="s">
        <v>82</v>
      </c>
      <c r="R467" s="31"/>
    </row>
    <row r="468" spans="1:18" x14ac:dyDescent="0.3">
      <c r="A468" s="9" t="s">
        <v>1006</v>
      </c>
      <c r="B468" s="10" t="s">
        <v>1026</v>
      </c>
      <c r="C468" s="11" t="s">
        <v>1022</v>
      </c>
      <c r="D468" s="12">
        <v>43973</v>
      </c>
      <c r="E468" s="12">
        <v>43978</v>
      </c>
      <c r="F468" s="13">
        <v>9978900</v>
      </c>
      <c r="G468" s="14">
        <v>0</v>
      </c>
      <c r="H468" s="9" t="s">
        <v>1027</v>
      </c>
      <c r="I468" s="15">
        <v>900347045</v>
      </c>
      <c r="J468" s="16" t="s">
        <v>1890</v>
      </c>
      <c r="K468" s="17">
        <v>6</v>
      </c>
      <c r="L468" s="18" t="s">
        <v>21</v>
      </c>
      <c r="M468" s="19">
        <v>1085000</v>
      </c>
      <c r="N468" s="19">
        <f t="shared" ref="N468:N469" si="41">M468*0.19</f>
        <v>206150</v>
      </c>
      <c r="O468" s="19">
        <f t="shared" si="40"/>
        <v>7746900</v>
      </c>
      <c r="P468" s="17" t="s">
        <v>65</v>
      </c>
      <c r="R468" s="31"/>
    </row>
    <row r="469" spans="1:18" x14ac:dyDescent="0.3">
      <c r="A469" s="9" t="s">
        <v>1006</v>
      </c>
      <c r="B469" s="10" t="s">
        <v>1026</v>
      </c>
      <c r="C469" s="11" t="s">
        <v>1022</v>
      </c>
      <c r="D469" s="12">
        <v>43973</v>
      </c>
      <c r="E469" s="12">
        <v>43978</v>
      </c>
      <c r="F469" s="13">
        <v>9978900</v>
      </c>
      <c r="G469" s="14">
        <v>0</v>
      </c>
      <c r="H469" s="9" t="s">
        <v>1027</v>
      </c>
      <c r="I469" s="15">
        <v>900347045</v>
      </c>
      <c r="J469" s="16" t="s">
        <v>1891</v>
      </c>
      <c r="K469" s="17">
        <v>16</v>
      </c>
      <c r="L469" s="18" t="s">
        <v>21</v>
      </c>
      <c r="M469" s="19">
        <v>117226.8907</v>
      </c>
      <c r="N469" s="19">
        <f t="shared" si="41"/>
        <v>22273.109232999999</v>
      </c>
      <c r="O469" s="19">
        <f t="shared" si="40"/>
        <v>2231999.9989280002</v>
      </c>
      <c r="P469" s="17" t="s">
        <v>82</v>
      </c>
      <c r="R469" s="31"/>
    </row>
    <row r="470" spans="1:18" x14ac:dyDescent="0.3">
      <c r="A470" s="9" t="s">
        <v>1006</v>
      </c>
      <c r="B470" s="10" t="s">
        <v>1028</v>
      </c>
      <c r="C470" s="11" t="s">
        <v>1029</v>
      </c>
      <c r="D470" s="12">
        <v>43978</v>
      </c>
      <c r="E470" s="12">
        <v>43985</v>
      </c>
      <c r="F470" s="13">
        <v>87780000</v>
      </c>
      <c r="G470" s="14">
        <v>0</v>
      </c>
      <c r="H470" s="9" t="s">
        <v>1030</v>
      </c>
      <c r="I470" s="15">
        <v>900490455</v>
      </c>
      <c r="J470" s="16" t="s">
        <v>1892</v>
      </c>
      <c r="K470" s="17">
        <v>26692</v>
      </c>
      <c r="L470" s="18" t="s">
        <v>21</v>
      </c>
      <c r="M470" s="19">
        <v>2500</v>
      </c>
      <c r="N470" s="19">
        <v>0</v>
      </c>
      <c r="O470" s="19">
        <f t="shared" si="40"/>
        <v>66730000</v>
      </c>
      <c r="P470" s="17" t="s">
        <v>31</v>
      </c>
      <c r="R470" s="31"/>
    </row>
    <row r="471" spans="1:18" x14ac:dyDescent="0.3">
      <c r="A471" s="9" t="s">
        <v>1006</v>
      </c>
      <c r="B471" s="10" t="s">
        <v>1028</v>
      </c>
      <c r="C471" s="11" t="s">
        <v>1029</v>
      </c>
      <c r="D471" s="12">
        <v>43978</v>
      </c>
      <c r="E471" s="12">
        <v>43985</v>
      </c>
      <c r="F471" s="13">
        <v>87780000</v>
      </c>
      <c r="G471" s="14">
        <v>0</v>
      </c>
      <c r="H471" s="9" t="s">
        <v>1030</v>
      </c>
      <c r="I471" s="15">
        <v>900490455</v>
      </c>
      <c r="J471" s="16" t="s">
        <v>1893</v>
      </c>
      <c r="K471" s="17">
        <v>30</v>
      </c>
      <c r="L471" s="18" t="s">
        <v>21</v>
      </c>
      <c r="M471" s="19">
        <v>60000</v>
      </c>
      <c r="N471" s="19">
        <v>0</v>
      </c>
      <c r="O471" s="19">
        <f t="shared" si="40"/>
        <v>1800000</v>
      </c>
      <c r="P471" s="17" t="s">
        <v>1948</v>
      </c>
      <c r="R471" s="31"/>
    </row>
    <row r="472" spans="1:18" x14ac:dyDescent="0.3">
      <c r="A472" s="9" t="s">
        <v>1006</v>
      </c>
      <c r="B472" s="10" t="s">
        <v>1028</v>
      </c>
      <c r="C472" s="11" t="s">
        <v>1029</v>
      </c>
      <c r="D472" s="12">
        <v>43978</v>
      </c>
      <c r="E472" s="12">
        <v>43985</v>
      </c>
      <c r="F472" s="13">
        <v>87780000</v>
      </c>
      <c r="G472" s="14">
        <v>0</v>
      </c>
      <c r="H472" s="9" t="s">
        <v>1030</v>
      </c>
      <c r="I472" s="15">
        <v>900490455</v>
      </c>
      <c r="J472" s="16" t="s">
        <v>1894</v>
      </c>
      <c r="K472" s="17">
        <v>50</v>
      </c>
      <c r="L472" s="18" t="s">
        <v>21</v>
      </c>
      <c r="M472" s="19">
        <v>60000</v>
      </c>
      <c r="N472" s="19">
        <v>0</v>
      </c>
      <c r="O472" s="19">
        <f t="shared" si="40"/>
        <v>3000000</v>
      </c>
      <c r="P472" s="17" t="s">
        <v>1948</v>
      </c>
      <c r="R472" s="31"/>
    </row>
    <row r="473" spans="1:18" x14ac:dyDescent="0.3">
      <c r="A473" s="9" t="s">
        <v>1006</v>
      </c>
      <c r="B473" s="10" t="s">
        <v>1028</v>
      </c>
      <c r="C473" s="11" t="s">
        <v>1029</v>
      </c>
      <c r="D473" s="12">
        <v>43978</v>
      </c>
      <c r="E473" s="12">
        <v>43985</v>
      </c>
      <c r="F473" s="13">
        <v>87780000</v>
      </c>
      <c r="G473" s="14">
        <v>0</v>
      </c>
      <c r="H473" s="9" t="s">
        <v>1030</v>
      </c>
      <c r="I473" s="15">
        <v>900490455</v>
      </c>
      <c r="J473" s="16" t="s">
        <v>1895</v>
      </c>
      <c r="K473" s="17">
        <v>200</v>
      </c>
      <c r="L473" s="18" t="s">
        <v>21</v>
      </c>
      <c r="M473" s="19">
        <v>65000</v>
      </c>
      <c r="N473" s="19">
        <v>0</v>
      </c>
      <c r="O473" s="19">
        <f t="shared" si="40"/>
        <v>13000000</v>
      </c>
      <c r="P473" s="17" t="s">
        <v>1948</v>
      </c>
      <c r="R473" s="31"/>
    </row>
    <row r="474" spans="1:18" x14ac:dyDescent="0.3">
      <c r="A474" s="9" t="s">
        <v>1006</v>
      </c>
      <c r="B474" s="10" t="s">
        <v>1028</v>
      </c>
      <c r="C474" s="11" t="s">
        <v>1029</v>
      </c>
      <c r="D474" s="12">
        <v>43978</v>
      </c>
      <c r="E474" s="12">
        <v>43985</v>
      </c>
      <c r="F474" s="13">
        <v>87780000</v>
      </c>
      <c r="G474" s="14">
        <v>0</v>
      </c>
      <c r="H474" s="9" t="s">
        <v>1030</v>
      </c>
      <c r="I474" s="15">
        <v>900490455</v>
      </c>
      <c r="J474" s="16" t="s">
        <v>1896</v>
      </c>
      <c r="K474" s="17">
        <v>50</v>
      </c>
      <c r="L474" s="18" t="s">
        <v>21</v>
      </c>
      <c r="M474" s="19">
        <v>65000</v>
      </c>
      <c r="N474" s="19">
        <v>0</v>
      </c>
      <c r="O474" s="19">
        <f t="shared" si="40"/>
        <v>3250000</v>
      </c>
      <c r="P474" s="17" t="s">
        <v>1948</v>
      </c>
      <c r="R474" s="31"/>
    </row>
    <row r="475" spans="1:18" x14ac:dyDescent="0.3">
      <c r="A475" s="9" t="s">
        <v>1006</v>
      </c>
      <c r="B475" s="10" t="s">
        <v>1031</v>
      </c>
      <c r="C475" s="11" t="s">
        <v>1029</v>
      </c>
      <c r="D475" s="12">
        <v>43979</v>
      </c>
      <c r="E475" s="12">
        <v>43985</v>
      </c>
      <c r="F475" s="13">
        <v>87642600</v>
      </c>
      <c r="G475" s="14">
        <v>0</v>
      </c>
      <c r="H475" s="9" t="s">
        <v>1027</v>
      </c>
      <c r="I475" s="15">
        <v>900347045</v>
      </c>
      <c r="J475" s="16" t="s">
        <v>1897</v>
      </c>
      <c r="K475" s="17">
        <v>46400</v>
      </c>
      <c r="L475" s="18" t="s">
        <v>21</v>
      </c>
      <c r="M475" s="19">
        <v>1470</v>
      </c>
      <c r="N475" s="19">
        <v>0</v>
      </c>
      <c r="O475" s="19">
        <f t="shared" si="40"/>
        <v>68208000</v>
      </c>
      <c r="P475" s="17" t="s">
        <v>31</v>
      </c>
      <c r="R475" s="31"/>
    </row>
    <row r="476" spans="1:18" x14ac:dyDescent="0.3">
      <c r="A476" s="9" t="s">
        <v>1006</v>
      </c>
      <c r="B476" s="10" t="s">
        <v>1031</v>
      </c>
      <c r="C476" s="11" t="s">
        <v>1029</v>
      </c>
      <c r="D476" s="12">
        <v>43979</v>
      </c>
      <c r="E476" s="12">
        <v>43985</v>
      </c>
      <c r="F476" s="13">
        <v>87642600</v>
      </c>
      <c r="G476" s="14">
        <v>0</v>
      </c>
      <c r="H476" s="9" t="s">
        <v>1027</v>
      </c>
      <c r="I476" s="15">
        <v>900347045</v>
      </c>
      <c r="J476" s="16" t="s">
        <v>1898</v>
      </c>
      <c r="K476" s="17">
        <v>1080</v>
      </c>
      <c r="L476" s="18" t="s">
        <v>36</v>
      </c>
      <c r="M476" s="19">
        <v>17995</v>
      </c>
      <c r="N476" s="19">
        <v>0</v>
      </c>
      <c r="O476" s="19">
        <f t="shared" si="40"/>
        <v>19434600</v>
      </c>
      <c r="P476" s="17" t="s">
        <v>875</v>
      </c>
      <c r="R476" s="31"/>
    </row>
    <row r="477" spans="1:18" x14ac:dyDescent="0.3">
      <c r="A477" s="9" t="s">
        <v>1006</v>
      </c>
      <c r="B477" s="10" t="s">
        <v>1032</v>
      </c>
      <c r="C477" s="11" t="s">
        <v>1029</v>
      </c>
      <c r="D477" s="12">
        <v>43979</v>
      </c>
      <c r="E477" s="12">
        <v>43979</v>
      </c>
      <c r="F477" s="13">
        <v>27353976</v>
      </c>
      <c r="G477" s="14">
        <v>0</v>
      </c>
      <c r="H477" s="9" t="s">
        <v>1025</v>
      </c>
      <c r="I477" s="15">
        <v>830094214</v>
      </c>
      <c r="J477" s="16" t="s">
        <v>1899</v>
      </c>
      <c r="K477" s="17">
        <v>1284</v>
      </c>
      <c r="L477" s="18" t="s">
        <v>36</v>
      </c>
      <c r="M477" s="19">
        <v>13400</v>
      </c>
      <c r="N477" s="19">
        <v>0</v>
      </c>
      <c r="O477" s="19">
        <f t="shared" si="40"/>
        <v>17205600</v>
      </c>
      <c r="P477" s="17" t="s">
        <v>37</v>
      </c>
      <c r="R477" s="31"/>
    </row>
    <row r="478" spans="1:18" x14ac:dyDescent="0.3">
      <c r="A478" s="9" t="s">
        <v>1006</v>
      </c>
      <c r="B478" s="10" t="s">
        <v>1032</v>
      </c>
      <c r="C478" s="11" t="s">
        <v>1029</v>
      </c>
      <c r="D478" s="12">
        <v>43979</v>
      </c>
      <c r="E478" s="12">
        <v>43979</v>
      </c>
      <c r="F478" s="13">
        <v>27353976</v>
      </c>
      <c r="G478" s="14">
        <v>0</v>
      </c>
      <c r="H478" s="9" t="s">
        <v>1025</v>
      </c>
      <c r="I478" s="15">
        <v>830094214</v>
      </c>
      <c r="J478" s="16" t="s">
        <v>1900</v>
      </c>
      <c r="K478" s="46">
        <v>1218</v>
      </c>
      <c r="L478" s="18" t="s">
        <v>36</v>
      </c>
      <c r="M478" s="19">
        <v>8332</v>
      </c>
      <c r="N478" s="19">
        <v>0</v>
      </c>
      <c r="O478" s="19">
        <f t="shared" si="40"/>
        <v>10148376</v>
      </c>
      <c r="P478" s="17" t="s">
        <v>39</v>
      </c>
      <c r="R478" s="31"/>
    </row>
    <row r="479" spans="1:18" x14ac:dyDescent="0.3">
      <c r="A479" s="9" t="s">
        <v>1006</v>
      </c>
      <c r="B479" s="10" t="s">
        <v>1033</v>
      </c>
      <c r="C479" s="11" t="s">
        <v>1029</v>
      </c>
      <c r="D479" s="12">
        <v>43979</v>
      </c>
      <c r="E479" s="12">
        <v>43979</v>
      </c>
      <c r="F479" s="13">
        <v>79458450</v>
      </c>
      <c r="G479" s="14">
        <v>0</v>
      </c>
      <c r="H479" s="9" t="s">
        <v>1034</v>
      </c>
      <c r="I479" s="15">
        <v>813005241</v>
      </c>
      <c r="J479" s="16" t="s">
        <v>1901</v>
      </c>
      <c r="K479" s="17">
        <v>1791</v>
      </c>
      <c r="L479" s="18" t="s">
        <v>70</v>
      </c>
      <c r="M479" s="19">
        <v>40000</v>
      </c>
      <c r="N479" s="19">
        <v>0</v>
      </c>
      <c r="O479" s="19">
        <f t="shared" si="40"/>
        <v>71640000</v>
      </c>
      <c r="P479" s="17" t="s">
        <v>69</v>
      </c>
      <c r="R479" s="31"/>
    </row>
    <row r="480" spans="1:18" x14ac:dyDescent="0.3">
      <c r="A480" s="9" t="s">
        <v>1006</v>
      </c>
      <c r="B480" s="10" t="s">
        <v>1033</v>
      </c>
      <c r="C480" s="11" t="s">
        <v>1029</v>
      </c>
      <c r="D480" s="12">
        <v>43979</v>
      </c>
      <c r="E480" s="12">
        <v>43979</v>
      </c>
      <c r="F480" s="13">
        <v>79458450</v>
      </c>
      <c r="G480" s="14">
        <v>0</v>
      </c>
      <c r="H480" s="9" t="s">
        <v>1034</v>
      </c>
      <c r="I480" s="15">
        <v>813005241</v>
      </c>
      <c r="J480" s="16" t="s">
        <v>1035</v>
      </c>
      <c r="K480" s="17">
        <v>832</v>
      </c>
      <c r="L480" s="18" t="s">
        <v>36</v>
      </c>
      <c r="M480" s="19">
        <v>9397.1754799999999</v>
      </c>
      <c r="N480" s="19">
        <v>0</v>
      </c>
      <c r="O480" s="19">
        <f t="shared" si="40"/>
        <v>7818449.9993599998</v>
      </c>
      <c r="P480" s="17" t="s">
        <v>161</v>
      </c>
      <c r="R480" s="31"/>
    </row>
    <row r="481" spans="1:18" x14ac:dyDescent="0.3">
      <c r="A481" s="9" t="s">
        <v>1006</v>
      </c>
      <c r="B481" s="10" t="s">
        <v>1036</v>
      </c>
      <c r="C481" s="11" t="s">
        <v>1029</v>
      </c>
      <c r="D481" s="12">
        <v>43983</v>
      </c>
      <c r="E481" s="12">
        <v>43990</v>
      </c>
      <c r="F481" s="13">
        <v>6288000</v>
      </c>
      <c r="G481" s="14">
        <v>0</v>
      </c>
      <c r="H481" s="9" t="s">
        <v>1037</v>
      </c>
      <c r="I481" s="15">
        <v>900305563</v>
      </c>
      <c r="J481" s="16" t="s">
        <v>1902</v>
      </c>
      <c r="K481" s="17">
        <v>32</v>
      </c>
      <c r="L481" s="18" t="s">
        <v>21</v>
      </c>
      <c r="M481" s="19">
        <v>165126.05042000001</v>
      </c>
      <c r="N481" s="19">
        <f>M481*0.19</f>
        <v>31373.949579800003</v>
      </c>
      <c r="O481" s="19">
        <f t="shared" si="40"/>
        <v>6287999.9999936009</v>
      </c>
      <c r="P481" s="17" t="s">
        <v>82</v>
      </c>
      <c r="R481" s="31"/>
    </row>
    <row r="482" spans="1:18" x14ac:dyDescent="0.3">
      <c r="A482" s="9" t="s">
        <v>1006</v>
      </c>
      <c r="B482" s="10" t="s">
        <v>1038</v>
      </c>
      <c r="C482" s="11" t="s">
        <v>1029</v>
      </c>
      <c r="D482" s="12">
        <v>43984</v>
      </c>
      <c r="E482" s="12">
        <v>43990</v>
      </c>
      <c r="F482" s="13">
        <v>3253250</v>
      </c>
      <c r="G482" s="14">
        <v>0</v>
      </c>
      <c r="H482" s="9" t="s">
        <v>1039</v>
      </c>
      <c r="I482" s="15">
        <v>900348560</v>
      </c>
      <c r="J482" s="16" t="s">
        <v>1040</v>
      </c>
      <c r="K482" s="17">
        <v>275</v>
      </c>
      <c r="L482" s="18" t="s">
        <v>21</v>
      </c>
      <c r="M482" s="19">
        <v>11830</v>
      </c>
      <c r="N482" s="19">
        <v>0</v>
      </c>
      <c r="O482" s="19">
        <f t="shared" si="40"/>
        <v>3253250</v>
      </c>
      <c r="P482" s="17" t="s">
        <v>75</v>
      </c>
      <c r="R482" s="31"/>
    </row>
    <row r="483" spans="1:18" x14ac:dyDescent="0.3">
      <c r="A483" s="9" t="s">
        <v>1006</v>
      </c>
      <c r="B483" s="10" t="s">
        <v>1041</v>
      </c>
      <c r="C483" s="11" t="s">
        <v>1029</v>
      </c>
      <c r="D483" s="12">
        <v>43985</v>
      </c>
      <c r="E483" s="12">
        <v>43990</v>
      </c>
      <c r="F483" s="13">
        <v>11400000</v>
      </c>
      <c r="G483" s="14">
        <v>0</v>
      </c>
      <c r="H483" s="9" t="s">
        <v>1039</v>
      </c>
      <c r="I483" s="15">
        <v>900348560</v>
      </c>
      <c r="J483" s="16" t="s">
        <v>1903</v>
      </c>
      <c r="K483" s="17">
        <v>60</v>
      </c>
      <c r="L483" s="18" t="s">
        <v>21</v>
      </c>
      <c r="M483" s="19">
        <v>190000</v>
      </c>
      <c r="N483" s="19">
        <v>0</v>
      </c>
      <c r="O483" s="19">
        <f t="shared" si="40"/>
        <v>11400000</v>
      </c>
      <c r="P483" s="17" t="s">
        <v>328</v>
      </c>
      <c r="R483" s="31"/>
    </row>
    <row r="484" spans="1:18" x14ac:dyDescent="0.3">
      <c r="A484" s="9" t="s">
        <v>1006</v>
      </c>
      <c r="B484" s="10" t="s">
        <v>1042</v>
      </c>
      <c r="C484" s="11" t="s">
        <v>1043</v>
      </c>
      <c r="D484" s="12">
        <v>43991</v>
      </c>
      <c r="E484" s="12">
        <v>43998</v>
      </c>
      <c r="F484" s="13">
        <v>15750000</v>
      </c>
      <c r="G484" s="14">
        <v>0</v>
      </c>
      <c r="H484" s="9" t="s">
        <v>1044</v>
      </c>
      <c r="I484" s="15">
        <v>800213675</v>
      </c>
      <c r="J484" s="16" t="s">
        <v>1904</v>
      </c>
      <c r="K484" s="17">
        <v>50</v>
      </c>
      <c r="L484" s="18" t="s">
        <v>21</v>
      </c>
      <c r="M484" s="19">
        <v>315000</v>
      </c>
      <c r="N484" s="19">
        <v>0</v>
      </c>
      <c r="O484" s="19">
        <f t="shared" si="40"/>
        <v>15750000</v>
      </c>
      <c r="P484" s="17" t="s">
        <v>185</v>
      </c>
      <c r="R484" s="31"/>
    </row>
    <row r="485" spans="1:18" x14ac:dyDescent="0.3">
      <c r="A485" s="9" t="s">
        <v>1006</v>
      </c>
      <c r="B485" s="10" t="s">
        <v>1045</v>
      </c>
      <c r="C485" s="11" t="s">
        <v>1046</v>
      </c>
      <c r="D485" s="12">
        <v>44008</v>
      </c>
      <c r="E485" s="12">
        <v>44013</v>
      </c>
      <c r="F485" s="13">
        <v>85748768</v>
      </c>
      <c r="G485" s="14">
        <v>0</v>
      </c>
      <c r="H485" s="9" t="s">
        <v>1047</v>
      </c>
      <c r="I485" s="15">
        <v>900402861</v>
      </c>
      <c r="J485" s="16" t="s">
        <v>1048</v>
      </c>
      <c r="K485" s="17">
        <v>12</v>
      </c>
      <c r="L485" s="18" t="s">
        <v>44</v>
      </c>
      <c r="M485" s="19">
        <v>1531228</v>
      </c>
      <c r="N485" s="19">
        <v>0</v>
      </c>
      <c r="O485" s="19">
        <f>K485*(M485+N485)*4</f>
        <v>73498944</v>
      </c>
      <c r="P485" s="17" t="s">
        <v>45</v>
      </c>
      <c r="R485" s="31"/>
    </row>
    <row r="486" spans="1:18" x14ac:dyDescent="0.3">
      <c r="A486" s="9" t="s">
        <v>1006</v>
      </c>
      <c r="B486" s="10" t="s">
        <v>1045</v>
      </c>
      <c r="C486" s="11" t="s">
        <v>1046</v>
      </c>
      <c r="D486" s="12">
        <v>44008</v>
      </c>
      <c r="E486" s="12">
        <v>44013</v>
      </c>
      <c r="F486" s="13">
        <v>85748768</v>
      </c>
      <c r="G486" s="14">
        <v>0</v>
      </c>
      <c r="H486" s="9" t="s">
        <v>1047</v>
      </c>
      <c r="I486" s="15">
        <v>900402861</v>
      </c>
      <c r="J486" s="16" t="s">
        <v>1049</v>
      </c>
      <c r="K486" s="17">
        <v>8</v>
      </c>
      <c r="L486" s="18" t="s">
        <v>44</v>
      </c>
      <c r="M486" s="19">
        <v>1531228</v>
      </c>
      <c r="N486" s="19">
        <v>0</v>
      </c>
      <c r="O486" s="19">
        <f t="shared" ref="O486:O493" si="42">K486*(M486+N486)</f>
        <v>12249824</v>
      </c>
      <c r="P486" s="17" t="s">
        <v>45</v>
      </c>
      <c r="R486" s="31"/>
    </row>
    <row r="487" spans="1:18" x14ac:dyDescent="0.3">
      <c r="A487" s="9" t="s">
        <v>1006</v>
      </c>
      <c r="B487" s="10" t="s">
        <v>1970</v>
      </c>
      <c r="C487" s="11" t="s">
        <v>1046</v>
      </c>
      <c r="D487" s="12">
        <v>44008</v>
      </c>
      <c r="E487" s="12">
        <v>44013</v>
      </c>
      <c r="F487" s="13">
        <v>0</v>
      </c>
      <c r="G487" s="14">
        <v>24499648</v>
      </c>
      <c r="H487" s="9" t="s">
        <v>1047</v>
      </c>
      <c r="I487" s="15">
        <v>900402861</v>
      </c>
      <c r="J487" s="16" t="s">
        <v>1049</v>
      </c>
      <c r="K487" s="17">
        <v>16</v>
      </c>
      <c r="L487" s="18" t="s">
        <v>44</v>
      </c>
      <c r="M487" s="19">
        <v>1531228</v>
      </c>
      <c r="N487" s="19">
        <v>0</v>
      </c>
      <c r="O487" s="19">
        <f t="shared" si="42"/>
        <v>24499648</v>
      </c>
      <c r="P487" s="17" t="s">
        <v>45</v>
      </c>
      <c r="R487" s="31"/>
    </row>
    <row r="488" spans="1:18" x14ac:dyDescent="0.3">
      <c r="A488" s="9" t="s">
        <v>1006</v>
      </c>
      <c r="B488" s="10" t="s">
        <v>1971</v>
      </c>
      <c r="C488" s="11" t="s">
        <v>1029</v>
      </c>
      <c r="D488" s="12">
        <v>44180</v>
      </c>
      <c r="E488" s="12">
        <v>44180</v>
      </c>
      <c r="F488" s="14">
        <v>11745300</v>
      </c>
      <c r="G488" s="14">
        <v>0</v>
      </c>
      <c r="H488" s="9" t="s">
        <v>1421</v>
      </c>
      <c r="I488" s="15">
        <v>901110477</v>
      </c>
      <c r="J488" s="16" t="s">
        <v>1972</v>
      </c>
      <c r="K488" s="17">
        <f>(4700*750)/1000</f>
        <v>3525</v>
      </c>
      <c r="L488" s="18" t="s">
        <v>36</v>
      </c>
      <c r="M488" s="19">
        <f>(2499*1000)/750</f>
        <v>3332</v>
      </c>
      <c r="N488" s="19">
        <v>0</v>
      </c>
      <c r="O488" s="19">
        <f t="shared" ref="O488:O489" si="43">K488*(M488+N488)</f>
        <v>11745300</v>
      </c>
      <c r="P488" s="17" t="s">
        <v>875</v>
      </c>
      <c r="R488" s="31"/>
    </row>
    <row r="489" spans="1:18" x14ac:dyDescent="0.3">
      <c r="A489" s="9" t="s">
        <v>1006</v>
      </c>
      <c r="B489" s="10" t="s">
        <v>1973</v>
      </c>
      <c r="C489" s="11" t="s">
        <v>1029</v>
      </c>
      <c r="D489" s="12">
        <v>44181</v>
      </c>
      <c r="E489" s="12">
        <v>44181</v>
      </c>
      <c r="F489" s="13">
        <v>48415000</v>
      </c>
      <c r="G489" s="14">
        <v>0</v>
      </c>
      <c r="H489" s="9" t="s">
        <v>964</v>
      </c>
      <c r="I489" s="15">
        <v>830001338</v>
      </c>
      <c r="J489" s="16" t="s">
        <v>37</v>
      </c>
      <c r="K489" s="17">
        <v>1800</v>
      </c>
      <c r="L489" s="18" t="s">
        <v>36</v>
      </c>
      <c r="M489" s="19">
        <v>4450</v>
      </c>
      <c r="N489" s="19">
        <v>0</v>
      </c>
      <c r="O489" s="19">
        <f t="shared" si="43"/>
        <v>8010000</v>
      </c>
      <c r="P489" s="17" t="s">
        <v>37</v>
      </c>
      <c r="R489" s="31"/>
    </row>
    <row r="490" spans="1:18" x14ac:dyDescent="0.3">
      <c r="A490" s="9" t="s">
        <v>1006</v>
      </c>
      <c r="B490" s="10" t="s">
        <v>1973</v>
      </c>
      <c r="C490" s="11" t="s">
        <v>1029</v>
      </c>
      <c r="D490" s="12">
        <v>44181</v>
      </c>
      <c r="E490" s="12">
        <v>44181</v>
      </c>
      <c r="F490" s="13">
        <v>48415000</v>
      </c>
      <c r="G490" s="14">
        <v>0</v>
      </c>
      <c r="H490" s="9" t="s">
        <v>964</v>
      </c>
      <c r="I490" s="15">
        <v>830001338</v>
      </c>
      <c r="J490" s="16" t="s">
        <v>58</v>
      </c>
      <c r="K490" s="17">
        <v>11500</v>
      </c>
      <c r="L490" s="29" t="s">
        <v>2135</v>
      </c>
      <c r="M490" s="19">
        <v>2470</v>
      </c>
      <c r="N490" s="19">
        <v>0</v>
      </c>
      <c r="O490" s="19">
        <f t="shared" si="42"/>
        <v>28405000</v>
      </c>
      <c r="P490" s="17" t="s">
        <v>656</v>
      </c>
      <c r="R490" s="31"/>
    </row>
    <row r="491" spans="1:18" x14ac:dyDescent="0.3">
      <c r="A491" s="9" t="s">
        <v>1006</v>
      </c>
      <c r="B491" s="10" t="s">
        <v>1973</v>
      </c>
      <c r="C491" s="11" t="s">
        <v>1029</v>
      </c>
      <c r="D491" s="12">
        <v>44181</v>
      </c>
      <c r="E491" s="12">
        <v>44181</v>
      </c>
      <c r="F491" s="13">
        <v>48415000</v>
      </c>
      <c r="G491" s="14">
        <v>0</v>
      </c>
      <c r="H491" s="9" t="s">
        <v>964</v>
      </c>
      <c r="I491" s="15">
        <v>830001338</v>
      </c>
      <c r="J491" s="16" t="s">
        <v>161</v>
      </c>
      <c r="K491" s="17">
        <v>3200</v>
      </c>
      <c r="L491" s="18" t="s">
        <v>36</v>
      </c>
      <c r="M491" s="19">
        <v>3750</v>
      </c>
      <c r="N491" s="19">
        <v>0</v>
      </c>
      <c r="O491" s="19">
        <f t="shared" si="42"/>
        <v>12000000</v>
      </c>
      <c r="P491" s="17" t="s">
        <v>161</v>
      </c>
      <c r="R491" s="31"/>
    </row>
    <row r="492" spans="1:18" x14ac:dyDescent="0.3">
      <c r="A492" s="9" t="s">
        <v>1006</v>
      </c>
      <c r="B492" s="10" t="s">
        <v>1974</v>
      </c>
      <c r="C492" s="11" t="s">
        <v>1029</v>
      </c>
      <c r="D492" s="12">
        <v>44181</v>
      </c>
      <c r="E492" s="12">
        <v>44181</v>
      </c>
      <c r="F492" s="13">
        <v>7184000</v>
      </c>
      <c r="G492" s="14">
        <v>0</v>
      </c>
      <c r="H492" s="9" t="s">
        <v>401</v>
      </c>
      <c r="I492" s="15">
        <v>901211678</v>
      </c>
      <c r="J492" s="16" t="s">
        <v>1975</v>
      </c>
      <c r="K492" s="17">
        <v>8000</v>
      </c>
      <c r="L492" s="18" t="s">
        <v>21</v>
      </c>
      <c r="M492" s="19">
        <v>898</v>
      </c>
      <c r="N492" s="19">
        <v>0</v>
      </c>
      <c r="O492" s="19">
        <f t="shared" si="42"/>
        <v>7184000</v>
      </c>
      <c r="P492" s="17" t="s">
        <v>31</v>
      </c>
      <c r="R492" s="31"/>
    </row>
    <row r="493" spans="1:18" x14ac:dyDescent="0.3">
      <c r="A493" s="9" t="s">
        <v>1006</v>
      </c>
      <c r="B493" s="10" t="s">
        <v>1976</v>
      </c>
      <c r="C493" s="11" t="s">
        <v>1029</v>
      </c>
      <c r="D493" s="12">
        <v>44123</v>
      </c>
      <c r="E493" s="12">
        <v>44123</v>
      </c>
      <c r="F493" s="13">
        <v>40675500</v>
      </c>
      <c r="G493" s="14">
        <v>0</v>
      </c>
      <c r="H493" s="9" t="s">
        <v>1039</v>
      </c>
      <c r="I493" s="15">
        <v>900348560</v>
      </c>
      <c r="J493" s="16" t="s">
        <v>1977</v>
      </c>
      <c r="K493" s="17">
        <v>3537</v>
      </c>
      <c r="L493" s="18" t="s">
        <v>21</v>
      </c>
      <c r="M493" s="19">
        <v>11500</v>
      </c>
      <c r="N493" s="19">
        <v>0</v>
      </c>
      <c r="O493" s="19">
        <f t="shared" si="42"/>
        <v>40675500</v>
      </c>
      <c r="P493" s="17" t="s">
        <v>75</v>
      </c>
      <c r="R493" s="31"/>
    </row>
    <row r="494" spans="1:18" x14ac:dyDescent="0.3">
      <c r="A494" s="9" t="s">
        <v>1006</v>
      </c>
      <c r="B494" s="10" t="s">
        <v>1978</v>
      </c>
      <c r="C494" s="11" t="s">
        <v>1029</v>
      </c>
      <c r="D494" s="12">
        <v>44180</v>
      </c>
      <c r="E494" s="12">
        <v>44180</v>
      </c>
      <c r="F494" s="13">
        <v>1215287.5</v>
      </c>
      <c r="G494" s="14">
        <v>0</v>
      </c>
      <c r="H494" s="9" t="s">
        <v>356</v>
      </c>
      <c r="I494" s="15">
        <v>900300970</v>
      </c>
      <c r="J494" s="16" t="s">
        <v>1285</v>
      </c>
      <c r="K494" s="17">
        <v>25</v>
      </c>
      <c r="L494" s="18" t="s">
        <v>21</v>
      </c>
      <c r="M494" s="19">
        <v>40850</v>
      </c>
      <c r="N494" s="19">
        <f>M494*0.19</f>
        <v>7761.5</v>
      </c>
      <c r="O494" s="19">
        <f t="shared" si="40"/>
        <v>1215287.5</v>
      </c>
      <c r="P494" s="17" t="s">
        <v>82</v>
      </c>
      <c r="R494" s="31"/>
    </row>
    <row r="495" spans="1:18" x14ac:dyDescent="0.3">
      <c r="A495" s="9" t="s">
        <v>1050</v>
      </c>
      <c r="B495" s="10" t="s">
        <v>1051</v>
      </c>
      <c r="C495" s="11" t="s">
        <v>1052</v>
      </c>
      <c r="D495" s="12">
        <v>43944</v>
      </c>
      <c r="E495" s="12">
        <v>43944</v>
      </c>
      <c r="F495" s="13">
        <v>19975000</v>
      </c>
      <c r="G495" s="14">
        <v>0</v>
      </c>
      <c r="H495" s="9" t="s">
        <v>1053</v>
      </c>
      <c r="I495" s="15">
        <v>830137645</v>
      </c>
      <c r="J495" s="16" t="s">
        <v>115</v>
      </c>
      <c r="K495" s="17">
        <v>25000</v>
      </c>
      <c r="L495" s="18" t="s">
        <v>21</v>
      </c>
      <c r="M495" s="19">
        <v>799</v>
      </c>
      <c r="N495" s="19">
        <v>0</v>
      </c>
      <c r="O495" s="19">
        <f t="shared" si="40"/>
        <v>19975000</v>
      </c>
      <c r="P495" s="17" t="s">
        <v>31</v>
      </c>
      <c r="R495" s="31"/>
    </row>
    <row r="496" spans="1:18" x14ac:dyDescent="0.3">
      <c r="A496" s="9" t="s">
        <v>1050</v>
      </c>
      <c r="B496" s="10" t="s">
        <v>1054</v>
      </c>
      <c r="C496" s="11" t="s">
        <v>1055</v>
      </c>
      <c r="D496" s="12">
        <v>43944</v>
      </c>
      <c r="E496" s="12">
        <v>43944</v>
      </c>
      <c r="F496" s="13">
        <v>5142900</v>
      </c>
      <c r="G496" s="14">
        <v>0</v>
      </c>
      <c r="H496" s="9" t="s">
        <v>60</v>
      </c>
      <c r="I496" s="15">
        <v>830001338</v>
      </c>
      <c r="J496" s="16" t="s">
        <v>1056</v>
      </c>
      <c r="K496" s="17">
        <v>380</v>
      </c>
      <c r="L496" s="18" t="s">
        <v>36</v>
      </c>
      <c r="M496" s="19">
        <v>13533.94736842</v>
      </c>
      <c r="N496" s="19">
        <v>0</v>
      </c>
      <c r="O496" s="19">
        <f t="shared" si="40"/>
        <v>5142899.9999996005</v>
      </c>
      <c r="P496" s="17" t="s">
        <v>161</v>
      </c>
      <c r="R496" s="31"/>
    </row>
    <row r="497" spans="1:18" x14ac:dyDescent="0.3">
      <c r="A497" s="9" t="s">
        <v>1050</v>
      </c>
      <c r="B497" s="10" t="s">
        <v>1057</v>
      </c>
      <c r="C497" s="11" t="s">
        <v>1058</v>
      </c>
      <c r="D497" s="12">
        <v>43944</v>
      </c>
      <c r="E497" s="12">
        <v>43944</v>
      </c>
      <c r="F497" s="13">
        <v>16680840</v>
      </c>
      <c r="G497" s="14">
        <v>0</v>
      </c>
      <c r="H497" s="9" t="s">
        <v>1059</v>
      </c>
      <c r="I497" s="15">
        <v>900704052</v>
      </c>
      <c r="J497" s="16" t="s">
        <v>1060</v>
      </c>
      <c r="K497" s="17">
        <v>1254</v>
      </c>
      <c r="L497" s="18" t="s">
        <v>36</v>
      </c>
      <c r="M497" s="19">
        <v>13302.105262999999</v>
      </c>
      <c r="N497" s="19">
        <v>0</v>
      </c>
      <c r="O497" s="19">
        <f t="shared" si="40"/>
        <v>16680839.999801999</v>
      </c>
      <c r="P497" s="17" t="s">
        <v>37</v>
      </c>
      <c r="R497" s="31"/>
    </row>
    <row r="498" spans="1:18" x14ac:dyDescent="0.3">
      <c r="A498" s="9" t="s">
        <v>1050</v>
      </c>
      <c r="B498" s="10" t="s">
        <v>1061</v>
      </c>
      <c r="C498" s="11" t="s">
        <v>1062</v>
      </c>
      <c r="D498" s="12">
        <v>43944</v>
      </c>
      <c r="E498" s="12">
        <v>43944</v>
      </c>
      <c r="F498" s="13">
        <v>4605000</v>
      </c>
      <c r="G498" s="14">
        <v>0</v>
      </c>
      <c r="H498" s="9" t="s">
        <v>1059</v>
      </c>
      <c r="I498" s="15">
        <v>900704052</v>
      </c>
      <c r="J498" s="16" t="s">
        <v>1063</v>
      </c>
      <c r="K498" s="46">
        <v>1140</v>
      </c>
      <c r="L498" s="18" t="s">
        <v>36</v>
      </c>
      <c r="M498" s="19">
        <v>4039.473684</v>
      </c>
      <c r="N498" s="19">
        <v>0</v>
      </c>
      <c r="O498" s="19">
        <f t="shared" si="40"/>
        <v>4604999.99976</v>
      </c>
      <c r="P498" s="17" t="s">
        <v>39</v>
      </c>
      <c r="R498" s="31"/>
    </row>
    <row r="499" spans="1:18" x14ac:dyDescent="0.3">
      <c r="A499" s="9" t="s">
        <v>1050</v>
      </c>
      <c r="B499" s="10" t="s">
        <v>1064</v>
      </c>
      <c r="C499" s="11" t="s">
        <v>1065</v>
      </c>
      <c r="D499" s="12">
        <v>43944</v>
      </c>
      <c r="E499" s="12">
        <v>43944</v>
      </c>
      <c r="F499" s="13">
        <v>9241540</v>
      </c>
      <c r="G499" s="14">
        <v>0</v>
      </c>
      <c r="H499" s="9" t="s">
        <v>356</v>
      </c>
      <c r="I499" s="15">
        <v>900300970</v>
      </c>
      <c r="J499" s="16" t="s">
        <v>1066</v>
      </c>
      <c r="K499" s="17">
        <v>2000</v>
      </c>
      <c r="L499" s="29" t="s">
        <v>2135</v>
      </c>
      <c r="M499" s="19">
        <v>3883</v>
      </c>
      <c r="N499" s="19">
        <v>0</v>
      </c>
      <c r="O499" s="19">
        <f t="shared" si="40"/>
        <v>7766000</v>
      </c>
      <c r="P499" s="21" t="s">
        <v>656</v>
      </c>
      <c r="R499" s="31"/>
    </row>
    <row r="500" spans="1:18" x14ac:dyDescent="0.3">
      <c r="A500" s="9" t="s">
        <v>1050</v>
      </c>
      <c r="B500" s="10" t="s">
        <v>1067</v>
      </c>
      <c r="C500" s="11" t="s">
        <v>1068</v>
      </c>
      <c r="D500" s="12">
        <v>43949</v>
      </c>
      <c r="E500" s="12">
        <v>43949</v>
      </c>
      <c r="F500" s="13">
        <v>2832200</v>
      </c>
      <c r="G500" s="14">
        <v>0</v>
      </c>
      <c r="H500" s="9" t="s">
        <v>1069</v>
      </c>
      <c r="I500" s="15">
        <v>830037946</v>
      </c>
      <c r="J500" s="16" t="s">
        <v>1070</v>
      </c>
      <c r="K500" s="17">
        <v>200</v>
      </c>
      <c r="L500" s="18" t="s">
        <v>21</v>
      </c>
      <c r="M500" s="19">
        <v>14161</v>
      </c>
      <c r="N500" s="19">
        <v>0</v>
      </c>
      <c r="O500" s="19">
        <f t="shared" si="40"/>
        <v>2832200</v>
      </c>
      <c r="P500" s="17" t="s">
        <v>412</v>
      </c>
      <c r="R500" s="31"/>
    </row>
    <row r="501" spans="1:18" x14ac:dyDescent="0.3">
      <c r="A501" s="9" t="s">
        <v>1050</v>
      </c>
      <c r="B501" s="10" t="s">
        <v>1071</v>
      </c>
      <c r="C501" s="11" t="s">
        <v>1072</v>
      </c>
      <c r="D501" s="12">
        <v>43965</v>
      </c>
      <c r="E501" s="12">
        <v>43965</v>
      </c>
      <c r="F501" s="13">
        <v>4840000</v>
      </c>
      <c r="G501" s="14">
        <v>0</v>
      </c>
      <c r="H501" s="9" t="s">
        <v>1073</v>
      </c>
      <c r="I501" s="15">
        <v>900175023</v>
      </c>
      <c r="J501" s="16" t="s">
        <v>69</v>
      </c>
      <c r="K501" s="17">
        <v>100</v>
      </c>
      <c r="L501" s="18" t="s">
        <v>70</v>
      </c>
      <c r="M501" s="19">
        <v>48400</v>
      </c>
      <c r="N501" s="19">
        <v>0</v>
      </c>
      <c r="O501" s="19">
        <f t="shared" si="40"/>
        <v>4840000</v>
      </c>
      <c r="P501" s="17" t="s">
        <v>69</v>
      </c>
      <c r="R501" s="31"/>
    </row>
    <row r="502" spans="1:18" x14ac:dyDescent="0.3">
      <c r="A502" s="9" t="s">
        <v>1050</v>
      </c>
      <c r="B502" s="10" t="s">
        <v>1074</v>
      </c>
      <c r="C502" s="11" t="s">
        <v>1072</v>
      </c>
      <c r="D502" s="12">
        <v>43985</v>
      </c>
      <c r="E502" s="12">
        <v>43986</v>
      </c>
      <c r="F502" s="13">
        <v>44570660</v>
      </c>
      <c r="G502" s="14">
        <v>0</v>
      </c>
      <c r="H502" s="9" t="s">
        <v>1075</v>
      </c>
      <c r="I502" s="15">
        <v>900155107</v>
      </c>
      <c r="J502" s="16" t="s">
        <v>1076</v>
      </c>
      <c r="K502" s="17">
        <v>352</v>
      </c>
      <c r="L502" s="18" t="s">
        <v>36</v>
      </c>
      <c r="M502" s="19">
        <v>23530</v>
      </c>
      <c r="N502" s="19">
        <v>0</v>
      </c>
      <c r="O502" s="19">
        <f t="shared" si="40"/>
        <v>8282560</v>
      </c>
      <c r="P502" s="17" t="s">
        <v>37</v>
      </c>
      <c r="R502" s="31"/>
    </row>
    <row r="503" spans="1:18" x14ac:dyDescent="0.3">
      <c r="A503" s="9" t="s">
        <v>1050</v>
      </c>
      <c r="B503" s="10" t="s">
        <v>1074</v>
      </c>
      <c r="C503" s="11" t="s">
        <v>1072</v>
      </c>
      <c r="D503" s="12">
        <v>43985</v>
      </c>
      <c r="E503" s="12">
        <v>43986</v>
      </c>
      <c r="F503" s="13">
        <v>44570660</v>
      </c>
      <c r="G503" s="14">
        <v>0</v>
      </c>
      <c r="H503" s="9" t="s">
        <v>1075</v>
      </c>
      <c r="I503" s="15">
        <v>900155107</v>
      </c>
      <c r="J503" s="16" t="s">
        <v>1077</v>
      </c>
      <c r="K503" s="17">
        <v>3100</v>
      </c>
      <c r="L503" s="18" t="s">
        <v>21</v>
      </c>
      <c r="M503" s="19">
        <v>7501</v>
      </c>
      <c r="N503" s="19">
        <v>0</v>
      </c>
      <c r="O503" s="19">
        <f t="shared" si="40"/>
        <v>23253100</v>
      </c>
      <c r="P503" s="17" t="s">
        <v>75</v>
      </c>
      <c r="R503" s="31"/>
    </row>
    <row r="504" spans="1:18" x14ac:dyDescent="0.3">
      <c r="A504" s="9" t="s">
        <v>1050</v>
      </c>
      <c r="B504" s="10" t="s">
        <v>1074</v>
      </c>
      <c r="C504" s="11" t="s">
        <v>1072</v>
      </c>
      <c r="D504" s="12">
        <v>43985</v>
      </c>
      <c r="E504" s="12">
        <v>43986</v>
      </c>
      <c r="F504" s="13">
        <v>44570660</v>
      </c>
      <c r="G504" s="14">
        <v>0</v>
      </c>
      <c r="H504" s="9" t="s">
        <v>1075</v>
      </c>
      <c r="I504" s="15">
        <v>900155107</v>
      </c>
      <c r="J504" s="16" t="s">
        <v>1078</v>
      </c>
      <c r="K504" s="17">
        <v>57</v>
      </c>
      <c r="L504" s="18" t="s">
        <v>21</v>
      </c>
      <c r="M504" s="19">
        <v>130000</v>
      </c>
      <c r="N504" s="19">
        <v>0</v>
      </c>
      <c r="O504" s="19">
        <f t="shared" si="40"/>
        <v>7410000</v>
      </c>
      <c r="P504" s="17" t="s">
        <v>82</v>
      </c>
      <c r="R504" s="31"/>
    </row>
    <row r="505" spans="1:18" x14ac:dyDescent="0.3">
      <c r="A505" s="9" t="s">
        <v>1050</v>
      </c>
      <c r="B505" s="10" t="s">
        <v>1074</v>
      </c>
      <c r="C505" s="11" t="s">
        <v>1072</v>
      </c>
      <c r="D505" s="12">
        <v>43985</v>
      </c>
      <c r="E505" s="12">
        <v>43986</v>
      </c>
      <c r="F505" s="13">
        <v>44570660</v>
      </c>
      <c r="G505" s="14">
        <v>0</v>
      </c>
      <c r="H505" s="9" t="s">
        <v>1075</v>
      </c>
      <c r="I505" s="15">
        <v>900155107</v>
      </c>
      <c r="J505" s="16" t="s">
        <v>1079</v>
      </c>
      <c r="K505" s="17">
        <v>18</v>
      </c>
      <c r="L505" s="18" t="s">
        <v>21</v>
      </c>
      <c r="M505" s="19">
        <v>312500</v>
      </c>
      <c r="N505" s="19">
        <v>0</v>
      </c>
      <c r="O505" s="19">
        <f t="shared" si="40"/>
        <v>5625000</v>
      </c>
      <c r="P505" s="17" t="s">
        <v>185</v>
      </c>
      <c r="R505" s="31"/>
    </row>
    <row r="506" spans="1:18" x14ac:dyDescent="0.3">
      <c r="A506" s="9" t="s">
        <v>1050</v>
      </c>
      <c r="B506" s="10" t="s">
        <v>1080</v>
      </c>
      <c r="C506" s="11" t="s">
        <v>1081</v>
      </c>
      <c r="D506" s="12">
        <v>43999</v>
      </c>
      <c r="E506" s="12">
        <v>43999</v>
      </c>
      <c r="F506" s="13">
        <v>18939000</v>
      </c>
      <c r="G506" s="14">
        <v>0</v>
      </c>
      <c r="H506" s="9" t="s">
        <v>1082</v>
      </c>
      <c r="I506" s="15">
        <v>900023386</v>
      </c>
      <c r="J506" s="16" t="s">
        <v>1083</v>
      </c>
      <c r="K506" s="17">
        <v>1680</v>
      </c>
      <c r="L506" s="18" t="s">
        <v>471</v>
      </c>
      <c r="M506" s="19">
        <v>4975</v>
      </c>
      <c r="N506" s="19">
        <v>0</v>
      </c>
      <c r="O506" s="19">
        <f t="shared" si="40"/>
        <v>8358000</v>
      </c>
      <c r="P506" s="16" t="s">
        <v>647</v>
      </c>
      <c r="R506" s="31"/>
    </row>
    <row r="507" spans="1:18" x14ac:dyDescent="0.3">
      <c r="A507" s="9" t="s">
        <v>1050</v>
      </c>
      <c r="B507" s="10" t="s">
        <v>1080</v>
      </c>
      <c r="C507" s="11" t="s">
        <v>1081</v>
      </c>
      <c r="D507" s="12">
        <v>43999</v>
      </c>
      <c r="E507" s="12">
        <v>43999</v>
      </c>
      <c r="F507" s="13">
        <v>18939000</v>
      </c>
      <c r="G507" s="14">
        <v>0</v>
      </c>
      <c r="H507" s="9" t="s">
        <v>1082</v>
      </c>
      <c r="I507" s="15">
        <v>900023386</v>
      </c>
      <c r="J507" s="16" t="s">
        <v>1905</v>
      </c>
      <c r="K507" s="17">
        <v>28</v>
      </c>
      <c r="L507" s="18" t="s">
        <v>327</v>
      </c>
      <c r="M507" s="19">
        <v>285000</v>
      </c>
      <c r="N507" s="19">
        <v>0</v>
      </c>
      <c r="O507" s="19">
        <f t="shared" si="40"/>
        <v>7980000</v>
      </c>
      <c r="P507" s="17" t="s">
        <v>328</v>
      </c>
      <c r="R507" s="31"/>
    </row>
    <row r="508" spans="1:18" x14ac:dyDescent="0.3">
      <c r="A508" s="9" t="s">
        <v>1050</v>
      </c>
      <c r="B508" s="10" t="s">
        <v>1080</v>
      </c>
      <c r="C508" s="11" t="s">
        <v>1081</v>
      </c>
      <c r="D508" s="12">
        <v>43999</v>
      </c>
      <c r="E508" s="12">
        <v>43999</v>
      </c>
      <c r="F508" s="13">
        <v>18939000</v>
      </c>
      <c r="G508" s="14">
        <v>0</v>
      </c>
      <c r="H508" s="9" t="s">
        <v>1082</v>
      </c>
      <c r="I508" s="15">
        <v>900023386</v>
      </c>
      <c r="J508" s="16" t="s">
        <v>1084</v>
      </c>
      <c r="K508" s="17">
        <v>170</v>
      </c>
      <c r="L508" s="18" t="s">
        <v>36</v>
      </c>
      <c r="M508" s="19">
        <v>15300</v>
      </c>
      <c r="N508" s="19">
        <v>0</v>
      </c>
      <c r="O508" s="19">
        <f t="shared" si="40"/>
        <v>2601000</v>
      </c>
      <c r="P508" s="17" t="s">
        <v>161</v>
      </c>
      <c r="R508" s="31"/>
    </row>
    <row r="509" spans="1:18" x14ac:dyDescent="0.3">
      <c r="A509" s="9" t="s">
        <v>1050</v>
      </c>
      <c r="B509" s="10" t="s">
        <v>1085</v>
      </c>
      <c r="C509" s="11" t="s">
        <v>1086</v>
      </c>
      <c r="D509" s="12">
        <v>44001</v>
      </c>
      <c r="E509" s="12">
        <v>44001</v>
      </c>
      <c r="F509" s="13">
        <v>84864000</v>
      </c>
      <c r="G509" s="14">
        <v>0</v>
      </c>
      <c r="H509" s="9" t="s">
        <v>1087</v>
      </c>
      <c r="I509" s="15">
        <v>900401081</v>
      </c>
      <c r="J509" s="16" t="s">
        <v>1088</v>
      </c>
      <c r="K509" s="17">
        <v>81600</v>
      </c>
      <c r="L509" s="18" t="s">
        <v>21</v>
      </c>
      <c r="M509" s="19">
        <v>1040</v>
      </c>
      <c r="N509" s="19">
        <v>0</v>
      </c>
      <c r="O509" s="19">
        <f t="shared" si="40"/>
        <v>84864000</v>
      </c>
      <c r="P509" s="17" t="s">
        <v>31</v>
      </c>
      <c r="R509" s="31"/>
    </row>
    <row r="510" spans="1:18" x14ac:dyDescent="0.3">
      <c r="A510" s="9" t="s">
        <v>1050</v>
      </c>
      <c r="B510" s="10" t="s">
        <v>1089</v>
      </c>
      <c r="C510" s="11" t="s">
        <v>1090</v>
      </c>
      <c r="D510" s="12">
        <v>44009</v>
      </c>
      <c r="E510" s="12">
        <v>44009</v>
      </c>
      <c r="F510" s="13">
        <v>70590000</v>
      </c>
      <c r="G510" s="14">
        <v>0</v>
      </c>
      <c r="H510" s="9" t="s">
        <v>356</v>
      </c>
      <c r="I510" s="15">
        <v>900300970</v>
      </c>
      <c r="J510" s="16" t="s">
        <v>69</v>
      </c>
      <c r="K510" s="17">
        <v>1500</v>
      </c>
      <c r="L510" s="18" t="s">
        <v>70</v>
      </c>
      <c r="M510" s="19">
        <v>47060</v>
      </c>
      <c r="N510" s="19">
        <v>0</v>
      </c>
      <c r="O510" s="19">
        <f t="shared" si="40"/>
        <v>70590000</v>
      </c>
      <c r="P510" s="17" t="s">
        <v>69</v>
      </c>
      <c r="R510" s="31"/>
    </row>
    <row r="511" spans="1:18" x14ac:dyDescent="0.3">
      <c r="A511" s="9" t="s">
        <v>1091</v>
      </c>
      <c r="B511" s="10" t="s">
        <v>2047</v>
      </c>
      <c r="C511" s="11" t="s">
        <v>1092</v>
      </c>
      <c r="D511" s="12">
        <v>43922</v>
      </c>
      <c r="E511" s="12">
        <v>43923</v>
      </c>
      <c r="F511" s="13">
        <v>36816642</v>
      </c>
      <c r="G511" s="14">
        <v>0</v>
      </c>
      <c r="H511" s="9" t="s">
        <v>1093</v>
      </c>
      <c r="I511" s="15">
        <v>860054854</v>
      </c>
      <c r="J511" s="16" t="s">
        <v>1906</v>
      </c>
      <c r="K511" s="17">
        <v>22</v>
      </c>
      <c r="L511" s="18" t="s">
        <v>21</v>
      </c>
      <c r="M511" s="19">
        <v>36236</v>
      </c>
      <c r="N511" s="19">
        <v>0</v>
      </c>
      <c r="O511" s="19">
        <f t="shared" si="40"/>
        <v>797192</v>
      </c>
      <c r="P511" s="17" t="s">
        <v>412</v>
      </c>
      <c r="R511" s="31"/>
    </row>
    <row r="512" spans="1:18" x14ac:dyDescent="0.3">
      <c r="A512" s="9" t="s">
        <v>1091</v>
      </c>
      <c r="B512" s="10" t="s">
        <v>2047</v>
      </c>
      <c r="C512" s="11" t="s">
        <v>1092</v>
      </c>
      <c r="D512" s="12">
        <v>43922</v>
      </c>
      <c r="E512" s="12">
        <v>43923</v>
      </c>
      <c r="F512" s="13">
        <v>36816642</v>
      </c>
      <c r="G512" s="14">
        <v>0</v>
      </c>
      <c r="H512" s="9" t="s">
        <v>1093</v>
      </c>
      <c r="I512" s="15">
        <v>860054854</v>
      </c>
      <c r="J512" s="16" t="s">
        <v>1094</v>
      </c>
      <c r="K512" s="17">
        <v>1325</v>
      </c>
      <c r="L512" s="18" t="s">
        <v>21</v>
      </c>
      <c r="M512" s="19">
        <v>22146</v>
      </c>
      <c r="N512" s="19">
        <v>0</v>
      </c>
      <c r="O512" s="19">
        <f t="shared" si="40"/>
        <v>29343450</v>
      </c>
      <c r="P512" s="17" t="s">
        <v>22</v>
      </c>
      <c r="R512" s="31"/>
    </row>
    <row r="513" spans="1:18" x14ac:dyDescent="0.3">
      <c r="A513" s="9" t="s">
        <v>1091</v>
      </c>
      <c r="B513" s="10" t="s">
        <v>2047</v>
      </c>
      <c r="C513" s="11" t="s">
        <v>1092</v>
      </c>
      <c r="D513" s="12">
        <v>43922</v>
      </c>
      <c r="E513" s="12">
        <v>43923</v>
      </c>
      <c r="F513" s="13">
        <v>36816642</v>
      </c>
      <c r="G513" s="14">
        <v>0</v>
      </c>
      <c r="H513" s="9" t="s">
        <v>1093</v>
      </c>
      <c r="I513" s="15">
        <v>860054854</v>
      </c>
      <c r="J513" s="16" t="s">
        <v>1095</v>
      </c>
      <c r="K513" s="17">
        <v>1000</v>
      </c>
      <c r="L513" s="18" t="s">
        <v>21</v>
      </c>
      <c r="M513" s="19">
        <v>6676</v>
      </c>
      <c r="N513" s="19">
        <v>0</v>
      </c>
      <c r="O513" s="19">
        <f t="shared" si="40"/>
        <v>6676000</v>
      </c>
      <c r="P513" s="17" t="s">
        <v>31</v>
      </c>
      <c r="R513" s="31"/>
    </row>
    <row r="514" spans="1:18" x14ac:dyDescent="0.3">
      <c r="A514" s="9" t="s">
        <v>1091</v>
      </c>
      <c r="B514" s="10" t="s">
        <v>2048</v>
      </c>
      <c r="C514" s="11" t="s">
        <v>1096</v>
      </c>
      <c r="D514" s="12">
        <v>43927</v>
      </c>
      <c r="E514" s="12">
        <v>43928</v>
      </c>
      <c r="F514" s="13">
        <v>82970740</v>
      </c>
      <c r="G514" s="14">
        <v>0</v>
      </c>
      <c r="H514" s="9" t="s">
        <v>1097</v>
      </c>
      <c r="I514" s="15">
        <v>59311027</v>
      </c>
      <c r="J514" s="16" t="s">
        <v>1098</v>
      </c>
      <c r="K514" s="17">
        <v>124</v>
      </c>
      <c r="L514" s="18" t="s">
        <v>70</v>
      </c>
      <c r="M514" s="19">
        <v>15650</v>
      </c>
      <c r="N514" s="19">
        <v>0</v>
      </c>
      <c r="O514" s="19">
        <f t="shared" si="40"/>
        <v>1940600</v>
      </c>
      <c r="P514" s="17" t="s">
        <v>145</v>
      </c>
      <c r="R514" s="31"/>
    </row>
    <row r="515" spans="1:18" x14ac:dyDescent="0.3">
      <c r="A515" s="9" t="s">
        <v>1091</v>
      </c>
      <c r="B515" s="10" t="s">
        <v>2048</v>
      </c>
      <c r="C515" s="11" t="s">
        <v>1096</v>
      </c>
      <c r="D515" s="12">
        <v>43927</v>
      </c>
      <c r="E515" s="12">
        <v>43928</v>
      </c>
      <c r="F515" s="13">
        <v>82970740</v>
      </c>
      <c r="G515" s="14">
        <v>0</v>
      </c>
      <c r="H515" s="9" t="s">
        <v>1097</v>
      </c>
      <c r="I515" s="15">
        <v>59311027</v>
      </c>
      <c r="J515" s="16" t="s">
        <v>1099</v>
      </c>
      <c r="K515" s="46">
        <v>3496</v>
      </c>
      <c r="L515" s="18" t="s">
        <v>36</v>
      </c>
      <c r="M515" s="19">
        <v>4289.4736842105267</v>
      </c>
      <c r="N515" s="19">
        <v>0</v>
      </c>
      <c r="O515" s="19">
        <f t="shared" si="40"/>
        <v>14996000.000000002</v>
      </c>
      <c r="P515" s="17" t="s">
        <v>39</v>
      </c>
      <c r="R515" s="31"/>
    </row>
    <row r="516" spans="1:18" x14ac:dyDescent="0.3">
      <c r="A516" s="9" t="s">
        <v>1091</v>
      </c>
      <c r="B516" s="10" t="s">
        <v>2048</v>
      </c>
      <c r="C516" s="11" t="s">
        <v>1096</v>
      </c>
      <c r="D516" s="12">
        <v>43927</v>
      </c>
      <c r="E516" s="12">
        <v>43928</v>
      </c>
      <c r="F516" s="13">
        <v>82970740</v>
      </c>
      <c r="G516" s="14">
        <v>0</v>
      </c>
      <c r="H516" s="9" t="s">
        <v>1097</v>
      </c>
      <c r="I516" s="15">
        <v>59311027</v>
      </c>
      <c r="J516" s="16" t="s">
        <v>1100</v>
      </c>
      <c r="K516" s="17">
        <v>467.4</v>
      </c>
      <c r="L516" s="18" t="s">
        <v>36</v>
      </c>
      <c r="M516" s="19">
        <v>16342.105263157895</v>
      </c>
      <c r="N516" s="19">
        <v>0</v>
      </c>
      <c r="O516" s="19">
        <f t="shared" si="40"/>
        <v>7638300</v>
      </c>
      <c r="P516" s="17" t="s">
        <v>37</v>
      </c>
      <c r="R516" s="31"/>
    </row>
    <row r="517" spans="1:18" x14ac:dyDescent="0.3">
      <c r="A517" s="9" t="s">
        <v>1091</v>
      </c>
      <c r="B517" s="10" t="s">
        <v>2048</v>
      </c>
      <c r="C517" s="11" t="s">
        <v>1096</v>
      </c>
      <c r="D517" s="12">
        <v>43927</v>
      </c>
      <c r="E517" s="12">
        <v>43928</v>
      </c>
      <c r="F517" s="13">
        <v>82970740</v>
      </c>
      <c r="G517" s="14">
        <v>0</v>
      </c>
      <c r="H517" s="9" t="s">
        <v>1097</v>
      </c>
      <c r="I517" s="15">
        <v>59311027</v>
      </c>
      <c r="J517" s="16" t="s">
        <v>35</v>
      </c>
      <c r="K517" s="17">
        <v>7.5</v>
      </c>
      <c r="L517" s="18" t="s">
        <v>36</v>
      </c>
      <c r="M517" s="19">
        <v>27600</v>
      </c>
      <c r="N517" s="19">
        <v>0</v>
      </c>
      <c r="O517" s="19">
        <f t="shared" si="40"/>
        <v>207000</v>
      </c>
      <c r="P517" s="17" t="s">
        <v>37</v>
      </c>
      <c r="R517" s="31"/>
    </row>
    <row r="518" spans="1:18" x14ac:dyDescent="0.3">
      <c r="A518" s="9" t="s">
        <v>1091</v>
      </c>
      <c r="B518" s="10" t="s">
        <v>2048</v>
      </c>
      <c r="C518" s="11" t="s">
        <v>1096</v>
      </c>
      <c r="D518" s="12">
        <v>43927</v>
      </c>
      <c r="E518" s="12">
        <v>43928</v>
      </c>
      <c r="F518" s="13">
        <v>82970740</v>
      </c>
      <c r="G518" s="14">
        <v>0</v>
      </c>
      <c r="H518" s="9" t="s">
        <v>1097</v>
      </c>
      <c r="I518" s="15">
        <v>59311027</v>
      </c>
      <c r="J518" s="16" t="s">
        <v>1101</v>
      </c>
      <c r="K518" s="17">
        <v>168</v>
      </c>
      <c r="L518" s="18" t="s">
        <v>21</v>
      </c>
      <c r="M518" s="19">
        <v>94500</v>
      </c>
      <c r="N518" s="19">
        <v>0</v>
      </c>
      <c r="O518" s="19">
        <f t="shared" si="40"/>
        <v>15876000</v>
      </c>
      <c r="P518" s="17" t="s">
        <v>82</v>
      </c>
      <c r="R518" s="31"/>
    </row>
    <row r="519" spans="1:18" x14ac:dyDescent="0.3">
      <c r="A519" s="9" t="s">
        <v>1091</v>
      </c>
      <c r="B519" s="10" t="s">
        <v>2048</v>
      </c>
      <c r="C519" s="11" t="s">
        <v>1096</v>
      </c>
      <c r="D519" s="12">
        <v>43927</v>
      </c>
      <c r="E519" s="12">
        <v>43928</v>
      </c>
      <c r="F519" s="13">
        <v>82970740</v>
      </c>
      <c r="G519" s="14">
        <v>0</v>
      </c>
      <c r="H519" s="9" t="s">
        <v>1097</v>
      </c>
      <c r="I519" s="15">
        <v>59311027</v>
      </c>
      <c r="J519" s="16" t="s">
        <v>1102</v>
      </c>
      <c r="K519" s="17">
        <v>60</v>
      </c>
      <c r="L519" s="18" t="s">
        <v>21</v>
      </c>
      <c r="M519" s="19">
        <v>54500</v>
      </c>
      <c r="N519" s="19">
        <v>0</v>
      </c>
      <c r="O519" s="19">
        <f t="shared" si="40"/>
        <v>3270000</v>
      </c>
      <c r="P519" s="17" t="s">
        <v>82</v>
      </c>
      <c r="R519" s="31"/>
    </row>
    <row r="520" spans="1:18" x14ac:dyDescent="0.3">
      <c r="A520" s="9" t="s">
        <v>1091</v>
      </c>
      <c r="B520" s="10" t="s">
        <v>2048</v>
      </c>
      <c r="C520" s="11" t="s">
        <v>1096</v>
      </c>
      <c r="D520" s="12">
        <v>43927</v>
      </c>
      <c r="E520" s="12">
        <v>43928</v>
      </c>
      <c r="F520" s="13">
        <v>82970740</v>
      </c>
      <c r="G520" s="14">
        <v>0</v>
      </c>
      <c r="H520" s="9" t="s">
        <v>1097</v>
      </c>
      <c r="I520" s="15">
        <v>59311027</v>
      </c>
      <c r="J520" s="16" t="s">
        <v>1103</v>
      </c>
      <c r="K520" s="17">
        <v>120</v>
      </c>
      <c r="L520" s="18" t="s">
        <v>21</v>
      </c>
      <c r="M520" s="19">
        <v>195782</v>
      </c>
      <c r="N520" s="19">
        <v>0</v>
      </c>
      <c r="O520" s="19">
        <f t="shared" si="40"/>
        <v>23493840</v>
      </c>
      <c r="P520" s="17" t="s">
        <v>82</v>
      </c>
      <c r="R520" s="31"/>
    </row>
    <row r="521" spans="1:18" x14ac:dyDescent="0.3">
      <c r="A521" s="9" t="s">
        <v>1091</v>
      </c>
      <c r="B521" s="10" t="s">
        <v>2048</v>
      </c>
      <c r="C521" s="11" t="s">
        <v>1096</v>
      </c>
      <c r="D521" s="12">
        <v>43927</v>
      </c>
      <c r="E521" s="12">
        <v>43928</v>
      </c>
      <c r="F521" s="13">
        <v>82970740</v>
      </c>
      <c r="G521" s="14">
        <v>0</v>
      </c>
      <c r="H521" s="9" t="s">
        <v>1097</v>
      </c>
      <c r="I521" s="15">
        <v>59311027</v>
      </c>
      <c r="J521" s="16" t="s">
        <v>1104</v>
      </c>
      <c r="K521" s="17">
        <v>852</v>
      </c>
      <c r="L521" s="18" t="s">
        <v>53</v>
      </c>
      <c r="M521" s="19">
        <v>18250</v>
      </c>
      <c r="N521" s="19">
        <v>0</v>
      </c>
      <c r="O521" s="19">
        <f t="shared" si="40"/>
        <v>15549000</v>
      </c>
      <c r="P521" s="21" t="s">
        <v>656</v>
      </c>
      <c r="R521" s="31"/>
    </row>
    <row r="522" spans="1:18" x14ac:dyDescent="0.3">
      <c r="A522" s="9" t="s">
        <v>1091</v>
      </c>
      <c r="B522" s="10" t="s">
        <v>2048</v>
      </c>
      <c r="C522" s="11" t="s">
        <v>1096</v>
      </c>
      <c r="D522" s="12">
        <v>43927</v>
      </c>
      <c r="E522" s="12">
        <v>43928</v>
      </c>
      <c r="F522" s="13">
        <v>0</v>
      </c>
      <c r="G522" s="14">
        <v>39472098</v>
      </c>
      <c r="H522" s="9" t="s">
        <v>1097</v>
      </c>
      <c r="I522" s="15">
        <v>59311027</v>
      </c>
      <c r="J522" s="16" t="s">
        <v>1101</v>
      </c>
      <c r="K522" s="17">
        <v>66</v>
      </c>
      <c r="L522" s="18" t="s">
        <v>21</v>
      </c>
      <c r="M522" s="19">
        <v>94500</v>
      </c>
      <c r="N522" s="19">
        <v>0</v>
      </c>
      <c r="O522" s="19">
        <f t="shared" si="40"/>
        <v>6237000</v>
      </c>
      <c r="P522" s="17" t="s">
        <v>82</v>
      </c>
      <c r="R522" s="31"/>
    </row>
    <row r="523" spans="1:18" x14ac:dyDescent="0.3">
      <c r="A523" s="9" t="s">
        <v>1091</v>
      </c>
      <c r="B523" s="10" t="s">
        <v>2048</v>
      </c>
      <c r="C523" s="11" t="s">
        <v>1096</v>
      </c>
      <c r="D523" s="12">
        <v>43927</v>
      </c>
      <c r="E523" s="12">
        <v>43928</v>
      </c>
      <c r="F523" s="13">
        <v>0</v>
      </c>
      <c r="G523" s="14">
        <v>39472098</v>
      </c>
      <c r="H523" s="9" t="s">
        <v>1097</v>
      </c>
      <c r="I523" s="15">
        <v>59311027</v>
      </c>
      <c r="J523" s="16" t="s">
        <v>1102</v>
      </c>
      <c r="K523" s="17">
        <v>49</v>
      </c>
      <c r="L523" s="18" t="s">
        <v>21</v>
      </c>
      <c r="M523" s="19">
        <v>54500</v>
      </c>
      <c r="N523" s="19">
        <v>0</v>
      </c>
      <c r="O523" s="19">
        <f t="shared" si="40"/>
        <v>2670500</v>
      </c>
      <c r="P523" s="17" t="s">
        <v>82</v>
      </c>
      <c r="R523" s="31"/>
    </row>
    <row r="524" spans="1:18" x14ac:dyDescent="0.3">
      <c r="A524" s="9" t="s">
        <v>1091</v>
      </c>
      <c r="B524" s="10" t="s">
        <v>2048</v>
      </c>
      <c r="C524" s="11" t="s">
        <v>1096</v>
      </c>
      <c r="D524" s="12">
        <v>43927</v>
      </c>
      <c r="E524" s="12">
        <v>43928</v>
      </c>
      <c r="F524" s="13">
        <v>0</v>
      </c>
      <c r="G524" s="14">
        <v>39472098</v>
      </c>
      <c r="H524" s="9" t="s">
        <v>1097</v>
      </c>
      <c r="I524" s="15">
        <v>59311027</v>
      </c>
      <c r="J524" s="16" t="s">
        <v>1103</v>
      </c>
      <c r="K524" s="17">
        <v>89</v>
      </c>
      <c r="L524" s="18" t="s">
        <v>21</v>
      </c>
      <c r="M524" s="19">
        <v>195782</v>
      </c>
      <c r="N524" s="19">
        <v>0</v>
      </c>
      <c r="O524" s="19">
        <f t="shared" ref="O524:O587" si="44">K524*(M524+N524)</f>
        <v>17424598</v>
      </c>
      <c r="P524" s="17" t="s">
        <v>82</v>
      </c>
      <c r="R524" s="31"/>
    </row>
    <row r="525" spans="1:18" x14ac:dyDescent="0.3">
      <c r="A525" s="9" t="s">
        <v>1091</v>
      </c>
      <c r="B525" s="10" t="s">
        <v>2048</v>
      </c>
      <c r="C525" s="11" t="s">
        <v>1096</v>
      </c>
      <c r="D525" s="12">
        <v>43927</v>
      </c>
      <c r="E525" s="12">
        <v>43928</v>
      </c>
      <c r="F525" s="13">
        <v>0</v>
      </c>
      <c r="G525" s="14">
        <v>39472098</v>
      </c>
      <c r="H525" s="9" t="s">
        <v>1097</v>
      </c>
      <c r="I525" s="15">
        <v>59311027</v>
      </c>
      <c r="J525" s="16" t="s">
        <v>1104</v>
      </c>
      <c r="K525" s="17">
        <v>720</v>
      </c>
      <c r="L525" s="18" t="s">
        <v>53</v>
      </c>
      <c r="M525" s="19">
        <v>18250</v>
      </c>
      <c r="N525" s="19">
        <v>0</v>
      </c>
      <c r="O525" s="19">
        <f t="shared" si="44"/>
        <v>13140000</v>
      </c>
      <c r="P525" s="21" t="s">
        <v>656</v>
      </c>
      <c r="R525" s="31"/>
    </row>
    <row r="526" spans="1:18" x14ac:dyDescent="0.3">
      <c r="A526" s="9" t="s">
        <v>1091</v>
      </c>
      <c r="B526" s="10" t="s">
        <v>2049</v>
      </c>
      <c r="C526" s="11" t="s">
        <v>1105</v>
      </c>
      <c r="D526" s="12">
        <v>43957</v>
      </c>
      <c r="E526" s="12">
        <v>43959</v>
      </c>
      <c r="F526" s="13">
        <v>24999480</v>
      </c>
      <c r="G526" s="14">
        <v>0</v>
      </c>
      <c r="H526" s="9" t="s">
        <v>1106</v>
      </c>
      <c r="I526" s="15">
        <v>813005241</v>
      </c>
      <c r="J526" s="16" t="s">
        <v>1107</v>
      </c>
      <c r="K526" s="17">
        <v>18939</v>
      </c>
      <c r="L526" s="18" t="s">
        <v>21</v>
      </c>
      <c r="M526" s="19">
        <v>1320</v>
      </c>
      <c r="N526" s="19">
        <v>0</v>
      </c>
      <c r="O526" s="19">
        <f t="shared" si="44"/>
        <v>24999480</v>
      </c>
      <c r="P526" s="17" t="s">
        <v>31</v>
      </c>
      <c r="R526" s="31"/>
    </row>
    <row r="527" spans="1:18" x14ac:dyDescent="0.3">
      <c r="A527" s="9" t="s">
        <v>1091</v>
      </c>
      <c r="B527" s="10" t="s">
        <v>2050</v>
      </c>
      <c r="C527" s="11" t="s">
        <v>1108</v>
      </c>
      <c r="D527" s="12">
        <v>43970</v>
      </c>
      <c r="E527" s="12">
        <v>43971</v>
      </c>
      <c r="F527" s="13">
        <v>5488560</v>
      </c>
      <c r="G527" s="14">
        <v>0</v>
      </c>
      <c r="H527" s="9" t="s">
        <v>1109</v>
      </c>
      <c r="I527" s="15">
        <v>901143417</v>
      </c>
      <c r="J527" s="16" t="s">
        <v>35</v>
      </c>
      <c r="K527" s="17">
        <v>302.39999999999998</v>
      </c>
      <c r="L527" s="18" t="s">
        <v>36</v>
      </c>
      <c r="M527" s="19">
        <v>18150</v>
      </c>
      <c r="N527" s="19">
        <v>0</v>
      </c>
      <c r="O527" s="19">
        <f t="shared" si="44"/>
        <v>5488560</v>
      </c>
      <c r="P527" s="17" t="s">
        <v>37</v>
      </c>
      <c r="R527" s="31"/>
    </row>
    <row r="528" spans="1:18" x14ac:dyDescent="0.3">
      <c r="A528" s="9" t="s">
        <v>1091</v>
      </c>
      <c r="B528" s="10" t="s">
        <v>1110</v>
      </c>
      <c r="C528" s="11" t="s">
        <v>1111</v>
      </c>
      <c r="D528" s="12">
        <v>43949</v>
      </c>
      <c r="E528" s="12">
        <v>43949</v>
      </c>
      <c r="F528" s="13">
        <v>4020100</v>
      </c>
      <c r="G528" s="14">
        <v>0</v>
      </c>
      <c r="H528" s="9" t="s">
        <v>1112</v>
      </c>
      <c r="I528" s="15">
        <v>900225460</v>
      </c>
      <c r="J528" s="16" t="s">
        <v>145</v>
      </c>
      <c r="K528" s="17">
        <v>200</v>
      </c>
      <c r="L528" s="18" t="s">
        <v>70</v>
      </c>
      <c r="M528" s="19">
        <v>20100.5</v>
      </c>
      <c r="N528" s="19">
        <v>0</v>
      </c>
      <c r="O528" s="19">
        <f t="shared" si="44"/>
        <v>4020100</v>
      </c>
      <c r="P528" s="17" t="s">
        <v>145</v>
      </c>
      <c r="R528" s="31"/>
    </row>
    <row r="529" spans="1:18" x14ac:dyDescent="0.3">
      <c r="A529" s="9" t="s">
        <v>1091</v>
      </c>
      <c r="B529" s="10" t="s">
        <v>1113</v>
      </c>
      <c r="C529" s="11" t="s">
        <v>1111</v>
      </c>
      <c r="D529" s="12">
        <v>43949</v>
      </c>
      <c r="E529" s="12">
        <v>43949</v>
      </c>
      <c r="F529" s="13">
        <v>1055276.3999999999</v>
      </c>
      <c r="G529" s="14">
        <v>0</v>
      </c>
      <c r="H529" s="9" t="s">
        <v>1112</v>
      </c>
      <c r="I529" s="15">
        <v>900225460</v>
      </c>
      <c r="J529" s="16" t="s">
        <v>69</v>
      </c>
      <c r="K529" s="17">
        <v>15</v>
      </c>
      <c r="L529" s="18" t="s">
        <v>70</v>
      </c>
      <c r="M529" s="19">
        <v>70351.759999999995</v>
      </c>
      <c r="N529" s="19">
        <v>0</v>
      </c>
      <c r="O529" s="19">
        <f t="shared" si="44"/>
        <v>1055276.3999999999</v>
      </c>
      <c r="P529" s="17" t="s">
        <v>69</v>
      </c>
      <c r="R529" s="31"/>
    </row>
    <row r="530" spans="1:18" x14ac:dyDescent="0.3">
      <c r="A530" s="9" t="s">
        <v>1091</v>
      </c>
      <c r="B530" s="10" t="s">
        <v>1114</v>
      </c>
      <c r="C530" s="11" t="s">
        <v>1115</v>
      </c>
      <c r="D530" s="12">
        <v>43951</v>
      </c>
      <c r="E530" s="12">
        <v>43951</v>
      </c>
      <c r="F530" s="13">
        <v>634758</v>
      </c>
      <c r="G530" s="14">
        <v>0</v>
      </c>
      <c r="H530" s="9" t="s">
        <v>332</v>
      </c>
      <c r="I530" s="15">
        <v>830037946</v>
      </c>
      <c r="J530" s="16" t="s">
        <v>1116</v>
      </c>
      <c r="K530" s="17">
        <v>1</v>
      </c>
      <c r="L530" s="18" t="s">
        <v>21</v>
      </c>
      <c r="M530" s="19">
        <v>533410.08403361344</v>
      </c>
      <c r="N530" s="19">
        <f>M530*0.19</f>
        <v>101347.91596638656</v>
      </c>
      <c r="O530" s="19">
        <f t="shared" si="44"/>
        <v>634758</v>
      </c>
      <c r="P530" s="17" t="s">
        <v>185</v>
      </c>
      <c r="R530" s="31"/>
    </row>
    <row r="531" spans="1:18" x14ac:dyDescent="0.3">
      <c r="A531" s="9" t="s">
        <v>1091</v>
      </c>
      <c r="B531" s="10" t="s">
        <v>1117</v>
      </c>
      <c r="C531" s="11" t="s">
        <v>1115</v>
      </c>
      <c r="D531" s="12">
        <v>43951</v>
      </c>
      <c r="E531" s="12">
        <v>43951</v>
      </c>
      <c r="F531" s="13">
        <v>3808548</v>
      </c>
      <c r="G531" s="14">
        <v>0</v>
      </c>
      <c r="H531" s="9" t="s">
        <v>332</v>
      </c>
      <c r="I531" s="15">
        <v>830037946</v>
      </c>
      <c r="J531" s="16" t="s">
        <v>1118</v>
      </c>
      <c r="K531" s="17">
        <v>6</v>
      </c>
      <c r="L531" s="18" t="s">
        <v>21</v>
      </c>
      <c r="M531" s="19">
        <v>533410.08403361344</v>
      </c>
      <c r="N531" s="19">
        <f>M531*0.19</f>
        <v>101347.91596638656</v>
      </c>
      <c r="O531" s="19">
        <f t="shared" si="44"/>
        <v>3808548</v>
      </c>
      <c r="P531" s="17" t="s">
        <v>185</v>
      </c>
      <c r="R531" s="31"/>
    </row>
    <row r="532" spans="1:18" x14ac:dyDescent="0.3">
      <c r="A532" s="9" t="s">
        <v>1091</v>
      </c>
      <c r="B532" s="10" t="s">
        <v>1119</v>
      </c>
      <c r="C532" s="11" t="s">
        <v>1120</v>
      </c>
      <c r="D532" s="12">
        <v>43970</v>
      </c>
      <c r="E532" s="12">
        <v>43970</v>
      </c>
      <c r="F532" s="13">
        <v>12206031</v>
      </c>
      <c r="G532" s="14">
        <v>0</v>
      </c>
      <c r="H532" s="9" t="s">
        <v>356</v>
      </c>
      <c r="I532" s="15">
        <v>900300970</v>
      </c>
      <c r="J532" s="16" t="s">
        <v>161</v>
      </c>
      <c r="K532" s="17">
        <v>225</v>
      </c>
      <c r="L532" s="18" t="s">
        <v>36</v>
      </c>
      <c r="M532" s="19">
        <v>9581.24</v>
      </c>
      <c r="N532" s="19">
        <v>0</v>
      </c>
      <c r="O532" s="19">
        <f t="shared" si="44"/>
        <v>2155779</v>
      </c>
      <c r="P532" s="17" t="s">
        <v>161</v>
      </c>
      <c r="R532" s="31"/>
    </row>
    <row r="533" spans="1:18" x14ac:dyDescent="0.3">
      <c r="A533" s="9" t="s">
        <v>1091</v>
      </c>
      <c r="B533" s="10" t="s">
        <v>1119</v>
      </c>
      <c r="C533" s="11" t="s">
        <v>1120</v>
      </c>
      <c r="D533" s="12">
        <v>43970</v>
      </c>
      <c r="E533" s="12">
        <v>43970</v>
      </c>
      <c r="F533" s="13">
        <v>12206031</v>
      </c>
      <c r="G533" s="14">
        <v>0</v>
      </c>
      <c r="H533" s="9" t="s">
        <v>356</v>
      </c>
      <c r="I533" s="15">
        <v>900300970</v>
      </c>
      <c r="J533" s="16" t="s">
        <v>160</v>
      </c>
      <c r="K533" s="17">
        <v>750</v>
      </c>
      <c r="L533" s="18" t="s">
        <v>36</v>
      </c>
      <c r="M533" s="19">
        <v>13400.335999999999</v>
      </c>
      <c r="N533" s="19">
        <v>0</v>
      </c>
      <c r="O533" s="19">
        <f t="shared" si="44"/>
        <v>10050252</v>
      </c>
      <c r="P533" s="17" t="s">
        <v>161</v>
      </c>
      <c r="R533" s="31"/>
    </row>
    <row r="534" spans="1:18" x14ac:dyDescent="0.3">
      <c r="A534" s="9" t="s">
        <v>1091</v>
      </c>
      <c r="B534" s="10" t="s">
        <v>1121</v>
      </c>
      <c r="C534" s="11" t="s">
        <v>1120</v>
      </c>
      <c r="D534" s="12">
        <v>43970</v>
      </c>
      <c r="E534" s="12">
        <v>43970</v>
      </c>
      <c r="F534" s="13">
        <v>8422110</v>
      </c>
      <c r="G534" s="14">
        <v>0</v>
      </c>
      <c r="H534" s="9" t="s">
        <v>314</v>
      </c>
      <c r="I534" s="15">
        <v>10125834</v>
      </c>
      <c r="J534" s="16" t="s">
        <v>1122</v>
      </c>
      <c r="K534" s="17">
        <v>750</v>
      </c>
      <c r="L534" s="18" t="s">
        <v>36</v>
      </c>
      <c r="M534" s="19">
        <v>11229.48</v>
      </c>
      <c r="N534" s="19">
        <v>0</v>
      </c>
      <c r="O534" s="19">
        <f t="shared" si="44"/>
        <v>8422110</v>
      </c>
      <c r="P534" s="17" t="s">
        <v>37</v>
      </c>
      <c r="R534" s="31"/>
    </row>
    <row r="535" spans="1:18" x14ac:dyDescent="0.3">
      <c r="A535" s="9" t="s">
        <v>1091</v>
      </c>
      <c r="B535" s="10" t="s">
        <v>1121</v>
      </c>
      <c r="C535" s="11" t="s">
        <v>1120</v>
      </c>
      <c r="D535" s="12">
        <v>43970</v>
      </c>
      <c r="E535" s="12">
        <v>43970</v>
      </c>
      <c r="F535" s="13">
        <v>3817086</v>
      </c>
      <c r="G535" s="14">
        <v>0</v>
      </c>
      <c r="H535" s="9" t="s">
        <v>314</v>
      </c>
      <c r="I535" s="15">
        <v>10125834</v>
      </c>
      <c r="J535" s="16" t="s">
        <v>1123</v>
      </c>
      <c r="K535" s="46">
        <v>757</v>
      </c>
      <c r="L535" s="18" t="s">
        <v>36</v>
      </c>
      <c r="M535" s="19">
        <v>5042.3857331571999</v>
      </c>
      <c r="N535" s="19">
        <v>0</v>
      </c>
      <c r="O535" s="19">
        <f t="shared" si="44"/>
        <v>3817086.0000000005</v>
      </c>
      <c r="P535" s="17" t="s">
        <v>39</v>
      </c>
      <c r="R535" s="31"/>
    </row>
    <row r="536" spans="1:18" x14ac:dyDescent="0.3">
      <c r="A536" s="9" t="s">
        <v>1091</v>
      </c>
      <c r="B536" s="10" t="s">
        <v>1124</v>
      </c>
      <c r="C536" s="11" t="s">
        <v>1125</v>
      </c>
      <c r="D536" s="12">
        <v>43970</v>
      </c>
      <c r="E536" s="12">
        <v>43970</v>
      </c>
      <c r="F536" s="13">
        <v>984924.5</v>
      </c>
      <c r="G536" s="14">
        <v>0</v>
      </c>
      <c r="H536" s="9" t="s">
        <v>68</v>
      </c>
      <c r="I536" s="15">
        <v>900350133</v>
      </c>
      <c r="J536" s="16" t="s">
        <v>1126</v>
      </c>
      <c r="K536" s="46">
        <v>185.465</v>
      </c>
      <c r="L536" s="18" t="s">
        <v>36</v>
      </c>
      <c r="M536" s="19">
        <v>5310.5680317040951</v>
      </c>
      <c r="N536" s="19">
        <v>0</v>
      </c>
      <c r="O536" s="19">
        <f t="shared" si="44"/>
        <v>984924.5</v>
      </c>
      <c r="P536" s="17" t="s">
        <v>39</v>
      </c>
      <c r="R536" s="31"/>
    </row>
    <row r="537" spans="1:18" x14ac:dyDescent="0.3">
      <c r="A537" s="9" t="s">
        <v>1091</v>
      </c>
      <c r="B537" s="10" t="s">
        <v>1127</v>
      </c>
      <c r="C537" s="11" t="s">
        <v>1125</v>
      </c>
      <c r="D537" s="12">
        <v>43970</v>
      </c>
      <c r="E537" s="12">
        <v>43970</v>
      </c>
      <c r="F537" s="13">
        <v>12512562</v>
      </c>
      <c r="G537" s="14">
        <v>0</v>
      </c>
      <c r="H537" s="9" t="s">
        <v>60</v>
      </c>
      <c r="I537" s="15">
        <v>8300013381</v>
      </c>
      <c r="J537" s="16" t="s">
        <v>1128</v>
      </c>
      <c r="K537" s="17">
        <v>1135.5</v>
      </c>
      <c r="L537" s="18" t="s">
        <v>36</v>
      </c>
      <c r="M537" s="19">
        <v>11019.429326287978</v>
      </c>
      <c r="N537" s="19">
        <v>0</v>
      </c>
      <c r="O537" s="19">
        <f t="shared" si="44"/>
        <v>12512562</v>
      </c>
      <c r="P537" s="17" t="s">
        <v>37</v>
      </c>
      <c r="R537" s="31"/>
    </row>
    <row r="538" spans="1:18" x14ac:dyDescent="0.3">
      <c r="A538" s="9" t="s">
        <v>1091</v>
      </c>
      <c r="B538" s="10" t="s">
        <v>1129</v>
      </c>
      <c r="C538" s="11" t="s">
        <v>1125</v>
      </c>
      <c r="D538" s="12">
        <v>43972</v>
      </c>
      <c r="E538" s="12">
        <v>43972</v>
      </c>
      <c r="F538" s="13">
        <v>2924622</v>
      </c>
      <c r="G538" s="14">
        <v>0</v>
      </c>
      <c r="H538" s="9" t="s">
        <v>359</v>
      </c>
      <c r="I538" s="15">
        <v>900704052</v>
      </c>
      <c r="J538" s="16" t="s">
        <v>1130</v>
      </c>
      <c r="K538" s="17">
        <v>150</v>
      </c>
      <c r="L538" s="18" t="s">
        <v>36</v>
      </c>
      <c r="M538" s="19">
        <v>19497.48</v>
      </c>
      <c r="N538" s="19">
        <v>0</v>
      </c>
      <c r="O538" s="19">
        <f t="shared" si="44"/>
        <v>2924622</v>
      </c>
      <c r="P538" s="17" t="s">
        <v>37</v>
      </c>
      <c r="R538" s="31"/>
    </row>
    <row r="539" spans="1:18" x14ac:dyDescent="0.3">
      <c r="A539" s="9" t="s">
        <v>1091</v>
      </c>
      <c r="B539" s="10" t="s">
        <v>1131</v>
      </c>
      <c r="C539" s="11" t="s">
        <v>1125</v>
      </c>
      <c r="D539" s="12">
        <v>43973</v>
      </c>
      <c r="E539" s="12">
        <v>43973</v>
      </c>
      <c r="F539" s="13">
        <v>1407035</v>
      </c>
      <c r="G539" s="14">
        <v>0</v>
      </c>
      <c r="H539" s="9" t="s">
        <v>1132</v>
      </c>
      <c r="I539" s="15">
        <v>900922139</v>
      </c>
      <c r="J539" s="16" t="s">
        <v>1123</v>
      </c>
      <c r="K539" s="46">
        <v>50</v>
      </c>
      <c r="L539" s="18" t="s">
        <v>36</v>
      </c>
      <c r="M539" s="19">
        <v>28140.7</v>
      </c>
      <c r="N539" s="19">
        <v>0</v>
      </c>
      <c r="O539" s="19">
        <f t="shared" si="44"/>
        <v>1407035</v>
      </c>
      <c r="P539" s="17" t="s">
        <v>39</v>
      </c>
      <c r="R539" s="31"/>
    </row>
    <row r="540" spans="1:18" x14ac:dyDescent="0.3">
      <c r="A540" s="9" t="s">
        <v>1091</v>
      </c>
      <c r="B540" s="10" t="s">
        <v>1133</v>
      </c>
      <c r="C540" s="11" t="s">
        <v>1134</v>
      </c>
      <c r="D540" s="12">
        <v>43979</v>
      </c>
      <c r="E540" s="12">
        <v>43979</v>
      </c>
      <c r="F540" s="13">
        <v>10854000</v>
      </c>
      <c r="G540" s="14">
        <v>0</v>
      </c>
      <c r="H540" s="9" t="s">
        <v>332</v>
      </c>
      <c r="I540" s="15">
        <v>830037946</v>
      </c>
      <c r="J540" s="16" t="s">
        <v>1135</v>
      </c>
      <c r="K540" s="17">
        <v>18</v>
      </c>
      <c r="L540" s="18" t="s">
        <v>21</v>
      </c>
      <c r="M540" s="19">
        <v>506722.68907563027</v>
      </c>
      <c r="N540" s="19">
        <f>M540*0.19</f>
        <v>96277.310924369755</v>
      </c>
      <c r="O540" s="19">
        <f t="shared" si="44"/>
        <v>10854000</v>
      </c>
      <c r="P540" s="17" t="s">
        <v>185</v>
      </c>
      <c r="R540" s="31"/>
    </row>
    <row r="541" spans="1:18" x14ac:dyDescent="0.3">
      <c r="A541" s="9" t="s">
        <v>1091</v>
      </c>
      <c r="B541" s="10" t="s">
        <v>2051</v>
      </c>
      <c r="C541" s="11" t="s">
        <v>1136</v>
      </c>
      <c r="D541" s="12">
        <v>43990</v>
      </c>
      <c r="E541" s="12">
        <v>43992</v>
      </c>
      <c r="F541" s="13">
        <v>57691400</v>
      </c>
      <c r="G541" s="14">
        <v>0</v>
      </c>
      <c r="H541" s="9" t="s">
        <v>1137</v>
      </c>
      <c r="I541" s="15">
        <v>830014921</v>
      </c>
      <c r="J541" s="16" t="s">
        <v>1138</v>
      </c>
      <c r="K541" s="17">
        <v>44.9</v>
      </c>
      <c r="L541" s="18" t="s">
        <v>1139</v>
      </c>
      <c r="M541" s="19">
        <v>450000</v>
      </c>
      <c r="N541" s="19">
        <v>0</v>
      </c>
      <c r="O541" s="19">
        <f t="shared" si="44"/>
        <v>20205000</v>
      </c>
      <c r="P541" s="17" t="s">
        <v>87</v>
      </c>
      <c r="R541" s="31"/>
    </row>
    <row r="542" spans="1:18" x14ac:dyDescent="0.3">
      <c r="A542" s="9" t="s">
        <v>1091</v>
      </c>
      <c r="B542" s="10" t="s">
        <v>2051</v>
      </c>
      <c r="C542" s="11" t="s">
        <v>1136</v>
      </c>
      <c r="D542" s="12">
        <v>43990</v>
      </c>
      <c r="E542" s="12">
        <v>43992</v>
      </c>
      <c r="F542" s="13">
        <v>57691400</v>
      </c>
      <c r="G542" s="14">
        <v>0</v>
      </c>
      <c r="H542" s="9" t="s">
        <v>1137</v>
      </c>
      <c r="I542" s="15">
        <v>830014921</v>
      </c>
      <c r="J542" s="16" t="s">
        <v>1140</v>
      </c>
      <c r="K542" s="17">
        <v>107.6</v>
      </c>
      <c r="L542" s="18" t="s">
        <v>1139</v>
      </c>
      <c r="M542" s="19">
        <v>189000</v>
      </c>
      <c r="N542" s="19">
        <v>0</v>
      </c>
      <c r="O542" s="19">
        <f t="shared" si="44"/>
        <v>20336400</v>
      </c>
      <c r="P542" s="17" t="s">
        <v>87</v>
      </c>
      <c r="R542" s="31"/>
    </row>
    <row r="543" spans="1:18" x14ac:dyDescent="0.3">
      <c r="A543" s="9" t="s">
        <v>1091</v>
      </c>
      <c r="B543" s="10" t="s">
        <v>2051</v>
      </c>
      <c r="C543" s="11" t="s">
        <v>1136</v>
      </c>
      <c r="D543" s="12">
        <v>43990</v>
      </c>
      <c r="E543" s="12">
        <v>43992</v>
      </c>
      <c r="F543" s="13">
        <v>57691400</v>
      </c>
      <c r="G543" s="14">
        <v>0</v>
      </c>
      <c r="H543" s="9" t="s">
        <v>1137</v>
      </c>
      <c r="I543" s="15">
        <v>830014921</v>
      </c>
      <c r="J543" s="16" t="s">
        <v>1141</v>
      </c>
      <c r="K543" s="17">
        <v>10</v>
      </c>
      <c r="L543" s="18" t="s">
        <v>21</v>
      </c>
      <c r="M543" s="19">
        <v>1628000</v>
      </c>
      <c r="N543" s="19">
        <v>0</v>
      </c>
      <c r="O543" s="19">
        <f t="shared" si="44"/>
        <v>16280000</v>
      </c>
      <c r="P543" s="17" t="s">
        <v>1142</v>
      </c>
      <c r="R543" s="31"/>
    </row>
    <row r="544" spans="1:18" x14ac:dyDescent="0.3">
      <c r="A544" s="9" t="s">
        <v>1091</v>
      </c>
      <c r="B544" s="10" t="s">
        <v>2051</v>
      </c>
      <c r="C544" s="11" t="s">
        <v>1136</v>
      </c>
      <c r="D544" s="12">
        <v>43990</v>
      </c>
      <c r="E544" s="12">
        <v>43992</v>
      </c>
      <c r="F544" s="13">
        <v>57691400</v>
      </c>
      <c r="G544" s="14">
        <v>0</v>
      </c>
      <c r="H544" s="9" t="s">
        <v>1137</v>
      </c>
      <c r="I544" s="15">
        <v>830014921</v>
      </c>
      <c r="J544" s="16" t="s">
        <v>1143</v>
      </c>
      <c r="K544" s="17">
        <v>10</v>
      </c>
      <c r="L544" s="18" t="s">
        <v>21</v>
      </c>
      <c r="M544" s="19">
        <v>87000</v>
      </c>
      <c r="N544" s="19">
        <v>0</v>
      </c>
      <c r="O544" s="19">
        <f t="shared" si="44"/>
        <v>870000</v>
      </c>
      <c r="P544" s="17" t="s">
        <v>155</v>
      </c>
      <c r="R544" s="31"/>
    </row>
    <row r="545" spans="1:18" x14ac:dyDescent="0.3">
      <c r="A545" s="9" t="s">
        <v>1091</v>
      </c>
      <c r="B545" s="10" t="s">
        <v>2051</v>
      </c>
      <c r="C545" s="11" t="s">
        <v>1136</v>
      </c>
      <c r="D545" s="12">
        <v>43990</v>
      </c>
      <c r="E545" s="12">
        <v>43992</v>
      </c>
      <c r="F545" s="13">
        <v>0</v>
      </c>
      <c r="G545" s="14">
        <v>14563079</v>
      </c>
      <c r="H545" s="9" t="s">
        <v>1137</v>
      </c>
      <c r="I545" s="15">
        <v>830014921</v>
      </c>
      <c r="J545" s="16" t="s">
        <v>1138</v>
      </c>
      <c r="K545" s="17">
        <v>32.362397780000002</v>
      </c>
      <c r="L545" s="18" t="s">
        <v>1139</v>
      </c>
      <c r="M545" s="19">
        <v>450000</v>
      </c>
      <c r="N545" s="19">
        <v>0</v>
      </c>
      <c r="O545" s="19">
        <f t="shared" si="44"/>
        <v>14563079.001</v>
      </c>
      <c r="P545" s="17" t="s">
        <v>87</v>
      </c>
      <c r="R545" s="31"/>
    </row>
    <row r="546" spans="1:18" x14ac:dyDescent="0.3">
      <c r="A546" s="9" t="s">
        <v>1091</v>
      </c>
      <c r="B546" s="10" t="s">
        <v>2052</v>
      </c>
      <c r="C546" s="11" t="s">
        <v>1144</v>
      </c>
      <c r="D546" s="12">
        <v>43993</v>
      </c>
      <c r="E546" s="12">
        <v>43994</v>
      </c>
      <c r="F546" s="13">
        <v>32534320</v>
      </c>
      <c r="G546" s="14">
        <v>0</v>
      </c>
      <c r="H546" s="9" t="s">
        <v>1145</v>
      </c>
      <c r="I546" s="15">
        <v>900990752</v>
      </c>
      <c r="J546" s="16" t="s">
        <v>1146</v>
      </c>
      <c r="K546" s="17">
        <v>26</v>
      </c>
      <c r="L546" s="18" t="s">
        <v>21</v>
      </c>
      <c r="M546" s="19">
        <v>1251320</v>
      </c>
      <c r="N546" s="19">
        <v>0</v>
      </c>
      <c r="O546" s="19">
        <f t="shared" si="44"/>
        <v>32534320</v>
      </c>
      <c r="P546" s="17" t="s">
        <v>65</v>
      </c>
      <c r="R546" s="31"/>
    </row>
    <row r="547" spans="1:18" x14ac:dyDescent="0.3">
      <c r="A547" s="9" t="s">
        <v>1091</v>
      </c>
      <c r="B547" s="10" t="s">
        <v>1147</v>
      </c>
      <c r="C547" s="11" t="s">
        <v>1148</v>
      </c>
      <c r="D547" s="12">
        <v>43998</v>
      </c>
      <c r="E547" s="12">
        <v>43998</v>
      </c>
      <c r="F547" s="13">
        <v>16884432</v>
      </c>
      <c r="G547" s="14">
        <v>0</v>
      </c>
      <c r="H547" s="9" t="s">
        <v>531</v>
      </c>
      <c r="I547" s="15">
        <v>890307682</v>
      </c>
      <c r="J547" s="16" t="s">
        <v>364</v>
      </c>
      <c r="K547" s="17">
        <v>2400</v>
      </c>
      <c r="L547" s="18" t="s">
        <v>21</v>
      </c>
      <c r="M547" s="19">
        <v>7035.18</v>
      </c>
      <c r="N547" s="19">
        <v>0</v>
      </c>
      <c r="O547" s="19">
        <f t="shared" si="44"/>
        <v>16884432</v>
      </c>
      <c r="P547" s="17" t="s">
        <v>75</v>
      </c>
      <c r="R547" s="31"/>
    </row>
    <row r="548" spans="1:18" x14ac:dyDescent="0.3">
      <c r="A548" s="9" t="s">
        <v>1091</v>
      </c>
      <c r="B548" s="10" t="s">
        <v>2053</v>
      </c>
      <c r="C548" s="11" t="s">
        <v>1149</v>
      </c>
      <c r="D548" s="12">
        <v>44001</v>
      </c>
      <c r="E548" s="12">
        <v>44005</v>
      </c>
      <c r="F548" s="13">
        <v>44287000</v>
      </c>
      <c r="G548" s="14">
        <v>0</v>
      </c>
      <c r="H548" s="9" t="s">
        <v>1150</v>
      </c>
      <c r="I548" s="15">
        <v>1082127888</v>
      </c>
      <c r="J548" s="16" t="s">
        <v>1151</v>
      </c>
      <c r="K548" s="17">
        <v>3</v>
      </c>
      <c r="L548" s="18" t="s">
        <v>716</v>
      </c>
      <c r="M548" s="19">
        <v>938000</v>
      </c>
      <c r="N548" s="19">
        <v>0</v>
      </c>
      <c r="O548" s="19">
        <f t="shared" si="44"/>
        <v>2814000</v>
      </c>
      <c r="P548" s="17" t="s">
        <v>570</v>
      </c>
      <c r="R548" s="31"/>
    </row>
    <row r="549" spans="1:18" x14ac:dyDescent="0.3">
      <c r="A549" s="9" t="s">
        <v>1091</v>
      </c>
      <c r="B549" s="10" t="s">
        <v>2053</v>
      </c>
      <c r="C549" s="11" t="s">
        <v>1149</v>
      </c>
      <c r="D549" s="12">
        <v>44001</v>
      </c>
      <c r="E549" s="12">
        <v>44005</v>
      </c>
      <c r="F549" s="13">
        <v>44287000</v>
      </c>
      <c r="G549" s="14">
        <v>0</v>
      </c>
      <c r="H549" s="9" t="s">
        <v>1150</v>
      </c>
      <c r="I549" s="15">
        <v>1082127888</v>
      </c>
      <c r="J549" s="16" t="s">
        <v>1152</v>
      </c>
      <c r="K549" s="17">
        <v>3</v>
      </c>
      <c r="L549" s="18" t="s">
        <v>716</v>
      </c>
      <c r="M549" s="19">
        <v>301500</v>
      </c>
      <c r="N549" s="19">
        <v>0</v>
      </c>
      <c r="O549" s="19">
        <f t="shared" si="44"/>
        <v>904500</v>
      </c>
      <c r="P549" s="17" t="s">
        <v>570</v>
      </c>
      <c r="R549" s="31"/>
    </row>
    <row r="550" spans="1:18" x14ac:dyDescent="0.3">
      <c r="A550" s="9" t="s">
        <v>1091</v>
      </c>
      <c r="B550" s="10" t="s">
        <v>2053</v>
      </c>
      <c r="C550" s="11" t="s">
        <v>1149</v>
      </c>
      <c r="D550" s="12">
        <v>44001</v>
      </c>
      <c r="E550" s="12">
        <v>44005</v>
      </c>
      <c r="F550" s="13">
        <v>44287000</v>
      </c>
      <c r="G550" s="14">
        <v>0</v>
      </c>
      <c r="H550" s="9" t="s">
        <v>1150</v>
      </c>
      <c r="I550" s="15">
        <v>1082127888</v>
      </c>
      <c r="J550" s="16" t="s">
        <v>1153</v>
      </c>
      <c r="K550" s="17">
        <v>3</v>
      </c>
      <c r="L550" s="18" t="s">
        <v>716</v>
      </c>
      <c r="M550" s="19">
        <v>301500</v>
      </c>
      <c r="N550" s="19">
        <v>0</v>
      </c>
      <c r="O550" s="19">
        <f t="shared" si="44"/>
        <v>904500</v>
      </c>
      <c r="P550" s="17" t="s">
        <v>570</v>
      </c>
      <c r="R550" s="31"/>
    </row>
    <row r="551" spans="1:18" x14ac:dyDescent="0.3">
      <c r="A551" s="9" t="s">
        <v>1091</v>
      </c>
      <c r="B551" s="10" t="s">
        <v>2053</v>
      </c>
      <c r="C551" s="11" t="s">
        <v>1149</v>
      </c>
      <c r="D551" s="12">
        <v>44001</v>
      </c>
      <c r="E551" s="12">
        <v>44005</v>
      </c>
      <c r="F551" s="13">
        <v>44287000</v>
      </c>
      <c r="G551" s="14">
        <v>0</v>
      </c>
      <c r="H551" s="9" t="s">
        <v>1150</v>
      </c>
      <c r="I551" s="15">
        <v>1082127888</v>
      </c>
      <c r="J551" s="16" t="s">
        <v>1154</v>
      </c>
      <c r="K551" s="17">
        <v>3</v>
      </c>
      <c r="L551" s="18" t="s">
        <v>716</v>
      </c>
      <c r="M551" s="19">
        <v>301500</v>
      </c>
      <c r="N551" s="19">
        <v>0</v>
      </c>
      <c r="O551" s="19">
        <f t="shared" si="44"/>
        <v>904500</v>
      </c>
      <c r="P551" s="17" t="s">
        <v>570</v>
      </c>
      <c r="R551" s="31"/>
    </row>
    <row r="552" spans="1:18" x14ac:dyDescent="0.3">
      <c r="A552" s="9" t="s">
        <v>1091</v>
      </c>
      <c r="B552" s="10" t="s">
        <v>2053</v>
      </c>
      <c r="C552" s="11" t="s">
        <v>1149</v>
      </c>
      <c r="D552" s="12">
        <v>44001</v>
      </c>
      <c r="E552" s="12">
        <v>44005</v>
      </c>
      <c r="F552" s="13">
        <v>44287000</v>
      </c>
      <c r="G552" s="14">
        <v>0</v>
      </c>
      <c r="H552" s="9" t="s">
        <v>1150</v>
      </c>
      <c r="I552" s="15">
        <v>1082127888</v>
      </c>
      <c r="J552" s="16" t="s">
        <v>1155</v>
      </c>
      <c r="K552" s="17">
        <v>3</v>
      </c>
      <c r="L552" s="18" t="s">
        <v>716</v>
      </c>
      <c r="M552" s="19">
        <v>301500</v>
      </c>
      <c r="N552" s="19">
        <v>0</v>
      </c>
      <c r="O552" s="19">
        <f t="shared" si="44"/>
        <v>904500</v>
      </c>
      <c r="P552" s="17" t="s">
        <v>570</v>
      </c>
      <c r="R552" s="31"/>
    </row>
    <row r="553" spans="1:18" x14ac:dyDescent="0.3">
      <c r="A553" s="9" t="s">
        <v>1091</v>
      </c>
      <c r="B553" s="10" t="s">
        <v>2053</v>
      </c>
      <c r="C553" s="11" t="s">
        <v>1149</v>
      </c>
      <c r="D553" s="12">
        <v>44001</v>
      </c>
      <c r="E553" s="12">
        <v>44005</v>
      </c>
      <c r="F553" s="13">
        <v>44287000</v>
      </c>
      <c r="G553" s="14">
        <v>0</v>
      </c>
      <c r="H553" s="9" t="s">
        <v>1150</v>
      </c>
      <c r="I553" s="15">
        <v>1082127888</v>
      </c>
      <c r="J553" s="16" t="s">
        <v>1156</v>
      </c>
      <c r="K553" s="17">
        <v>3</v>
      </c>
      <c r="L553" s="18" t="s">
        <v>716</v>
      </c>
      <c r="M553" s="19">
        <v>301500</v>
      </c>
      <c r="N553" s="19">
        <v>0</v>
      </c>
      <c r="O553" s="19">
        <f t="shared" si="44"/>
        <v>904500</v>
      </c>
      <c r="P553" s="17" t="s">
        <v>570</v>
      </c>
      <c r="R553" s="31"/>
    </row>
    <row r="554" spans="1:18" x14ac:dyDescent="0.3">
      <c r="A554" s="9" t="s">
        <v>1091</v>
      </c>
      <c r="B554" s="10" t="s">
        <v>2053</v>
      </c>
      <c r="C554" s="11" t="s">
        <v>1149</v>
      </c>
      <c r="D554" s="12">
        <v>44001</v>
      </c>
      <c r="E554" s="12">
        <v>44005</v>
      </c>
      <c r="F554" s="13">
        <v>44287000</v>
      </c>
      <c r="G554" s="14">
        <v>0</v>
      </c>
      <c r="H554" s="9" t="s">
        <v>1150</v>
      </c>
      <c r="I554" s="15">
        <v>1082127888</v>
      </c>
      <c r="J554" s="16" t="s">
        <v>1157</v>
      </c>
      <c r="K554" s="17">
        <v>2</v>
      </c>
      <c r="L554" s="18" t="s">
        <v>716</v>
      </c>
      <c r="M554" s="19">
        <v>201000</v>
      </c>
      <c r="N554" s="19">
        <v>0</v>
      </c>
      <c r="O554" s="19">
        <f t="shared" si="44"/>
        <v>402000</v>
      </c>
      <c r="P554" s="17" t="s">
        <v>570</v>
      </c>
      <c r="R554" s="31"/>
    </row>
    <row r="555" spans="1:18" x14ac:dyDescent="0.3">
      <c r="A555" s="9" t="s">
        <v>1091</v>
      </c>
      <c r="B555" s="10" t="s">
        <v>2053</v>
      </c>
      <c r="C555" s="11" t="s">
        <v>1149</v>
      </c>
      <c r="D555" s="12">
        <v>44001</v>
      </c>
      <c r="E555" s="12">
        <v>44005</v>
      </c>
      <c r="F555" s="13">
        <v>44287000</v>
      </c>
      <c r="G555" s="14">
        <v>0</v>
      </c>
      <c r="H555" s="9" t="s">
        <v>1150</v>
      </c>
      <c r="I555" s="15">
        <v>1082127888</v>
      </c>
      <c r="J555" s="16" t="s">
        <v>1158</v>
      </c>
      <c r="K555" s="17">
        <v>3</v>
      </c>
      <c r="L555" s="18" t="s">
        <v>716</v>
      </c>
      <c r="M555" s="19">
        <v>301500</v>
      </c>
      <c r="N555" s="19">
        <v>0</v>
      </c>
      <c r="O555" s="19">
        <f t="shared" si="44"/>
        <v>904500</v>
      </c>
      <c r="P555" s="17" t="s">
        <v>570</v>
      </c>
      <c r="R555" s="31"/>
    </row>
    <row r="556" spans="1:18" x14ac:dyDescent="0.3">
      <c r="A556" s="9" t="s">
        <v>1091</v>
      </c>
      <c r="B556" s="10" t="s">
        <v>2053</v>
      </c>
      <c r="C556" s="11" t="s">
        <v>1149</v>
      </c>
      <c r="D556" s="12">
        <v>44001</v>
      </c>
      <c r="E556" s="12">
        <v>44005</v>
      </c>
      <c r="F556" s="13">
        <v>44287000</v>
      </c>
      <c r="G556" s="14">
        <v>0</v>
      </c>
      <c r="H556" s="9" t="s">
        <v>1150</v>
      </c>
      <c r="I556" s="15">
        <v>1082127888</v>
      </c>
      <c r="J556" s="16" t="s">
        <v>1159</v>
      </c>
      <c r="K556" s="17">
        <v>2</v>
      </c>
      <c r="L556" s="18" t="s">
        <v>716</v>
      </c>
      <c r="M556" s="19">
        <v>234500</v>
      </c>
      <c r="N556" s="19">
        <v>0</v>
      </c>
      <c r="O556" s="19">
        <f t="shared" si="44"/>
        <v>469000</v>
      </c>
      <c r="P556" s="17" t="s">
        <v>570</v>
      </c>
      <c r="R556" s="31"/>
    </row>
    <row r="557" spans="1:18" x14ac:dyDescent="0.3">
      <c r="A557" s="9" t="s">
        <v>1091</v>
      </c>
      <c r="B557" s="10" t="s">
        <v>2053</v>
      </c>
      <c r="C557" s="11" t="s">
        <v>1149</v>
      </c>
      <c r="D557" s="12">
        <v>44001</v>
      </c>
      <c r="E557" s="12">
        <v>44005</v>
      </c>
      <c r="F557" s="13">
        <v>44287000</v>
      </c>
      <c r="G557" s="14">
        <v>0</v>
      </c>
      <c r="H557" s="9" t="s">
        <v>1150</v>
      </c>
      <c r="I557" s="15">
        <v>1082127888</v>
      </c>
      <c r="J557" s="16" t="s">
        <v>1160</v>
      </c>
      <c r="K557" s="17">
        <v>2</v>
      </c>
      <c r="L557" s="18" t="s">
        <v>716</v>
      </c>
      <c r="M557" s="19">
        <v>234500</v>
      </c>
      <c r="N557" s="19">
        <v>0</v>
      </c>
      <c r="O557" s="19">
        <f t="shared" si="44"/>
        <v>469000</v>
      </c>
      <c r="P557" s="17" t="s">
        <v>570</v>
      </c>
      <c r="R557" s="31"/>
    </row>
    <row r="558" spans="1:18" x14ac:dyDescent="0.3">
      <c r="A558" s="9" t="s">
        <v>1091</v>
      </c>
      <c r="B558" s="10" t="s">
        <v>2053</v>
      </c>
      <c r="C558" s="11" t="s">
        <v>1149</v>
      </c>
      <c r="D558" s="12">
        <v>44001</v>
      </c>
      <c r="E558" s="12">
        <v>44005</v>
      </c>
      <c r="F558" s="13">
        <v>44287000</v>
      </c>
      <c r="G558" s="14">
        <v>0</v>
      </c>
      <c r="H558" s="9" t="s">
        <v>1150</v>
      </c>
      <c r="I558" s="15">
        <v>1082127888</v>
      </c>
      <c r="J558" s="16" t="s">
        <v>1161</v>
      </c>
      <c r="K558" s="17">
        <v>1</v>
      </c>
      <c r="L558" s="18" t="s">
        <v>716</v>
      </c>
      <c r="M558" s="19">
        <v>201000</v>
      </c>
      <c r="N558" s="19">
        <v>0</v>
      </c>
      <c r="O558" s="19">
        <f t="shared" si="44"/>
        <v>201000</v>
      </c>
      <c r="P558" s="17" t="s">
        <v>570</v>
      </c>
      <c r="R558" s="31"/>
    </row>
    <row r="559" spans="1:18" x14ac:dyDescent="0.3">
      <c r="A559" s="9" t="s">
        <v>1091</v>
      </c>
      <c r="B559" s="10" t="s">
        <v>2053</v>
      </c>
      <c r="C559" s="11" t="s">
        <v>1149</v>
      </c>
      <c r="D559" s="12">
        <v>44001</v>
      </c>
      <c r="E559" s="12">
        <v>44005</v>
      </c>
      <c r="F559" s="13">
        <v>44287000</v>
      </c>
      <c r="G559" s="14">
        <v>0</v>
      </c>
      <c r="H559" s="9" t="s">
        <v>1150</v>
      </c>
      <c r="I559" s="15">
        <v>1082127888</v>
      </c>
      <c r="J559" s="16" t="s">
        <v>1162</v>
      </c>
      <c r="K559" s="17">
        <v>1</v>
      </c>
      <c r="L559" s="18" t="s">
        <v>716</v>
      </c>
      <c r="M559" s="19">
        <v>201000</v>
      </c>
      <c r="N559" s="19">
        <v>0</v>
      </c>
      <c r="O559" s="19">
        <f t="shared" si="44"/>
        <v>201000</v>
      </c>
      <c r="P559" s="17" t="s">
        <v>570</v>
      </c>
      <c r="R559" s="31"/>
    </row>
    <row r="560" spans="1:18" x14ac:dyDescent="0.3">
      <c r="A560" s="9" t="s">
        <v>1091</v>
      </c>
      <c r="B560" s="10" t="s">
        <v>2053</v>
      </c>
      <c r="C560" s="11" t="s">
        <v>1149</v>
      </c>
      <c r="D560" s="12">
        <v>44001</v>
      </c>
      <c r="E560" s="12">
        <v>44005</v>
      </c>
      <c r="F560" s="13">
        <v>44287000</v>
      </c>
      <c r="G560" s="14">
        <v>0</v>
      </c>
      <c r="H560" s="9" t="s">
        <v>1150</v>
      </c>
      <c r="I560" s="15">
        <v>1082127888</v>
      </c>
      <c r="J560" s="16" t="s">
        <v>1163</v>
      </c>
      <c r="K560" s="17">
        <v>2</v>
      </c>
      <c r="L560" s="18" t="s">
        <v>716</v>
      </c>
      <c r="M560" s="19">
        <v>201000</v>
      </c>
      <c r="N560" s="19">
        <v>0</v>
      </c>
      <c r="O560" s="19">
        <f t="shared" si="44"/>
        <v>402000</v>
      </c>
      <c r="P560" s="17" t="s">
        <v>570</v>
      </c>
      <c r="R560" s="31"/>
    </row>
    <row r="561" spans="1:18" x14ac:dyDescent="0.3">
      <c r="A561" s="9" t="s">
        <v>1091</v>
      </c>
      <c r="B561" s="10" t="s">
        <v>2053</v>
      </c>
      <c r="C561" s="11" t="s">
        <v>1149</v>
      </c>
      <c r="D561" s="12">
        <v>44001</v>
      </c>
      <c r="E561" s="12">
        <v>44005</v>
      </c>
      <c r="F561" s="13">
        <v>44287000</v>
      </c>
      <c r="G561" s="14">
        <v>0</v>
      </c>
      <c r="H561" s="9" t="s">
        <v>1150</v>
      </c>
      <c r="I561" s="15">
        <v>1082127888</v>
      </c>
      <c r="J561" s="16" t="s">
        <v>1164</v>
      </c>
      <c r="K561" s="17">
        <v>2</v>
      </c>
      <c r="L561" s="18" t="s">
        <v>716</v>
      </c>
      <c r="M561" s="19">
        <v>234500</v>
      </c>
      <c r="N561" s="19">
        <v>0</v>
      </c>
      <c r="O561" s="19">
        <f t="shared" si="44"/>
        <v>469000</v>
      </c>
      <c r="P561" s="17" t="s">
        <v>570</v>
      </c>
      <c r="R561" s="31"/>
    </row>
    <row r="562" spans="1:18" x14ac:dyDescent="0.3">
      <c r="A562" s="9" t="s">
        <v>1091</v>
      </c>
      <c r="B562" s="10" t="s">
        <v>2053</v>
      </c>
      <c r="C562" s="11" t="s">
        <v>1149</v>
      </c>
      <c r="D562" s="12">
        <v>44001</v>
      </c>
      <c r="E562" s="12">
        <v>44005</v>
      </c>
      <c r="F562" s="13">
        <v>44287000</v>
      </c>
      <c r="G562" s="14">
        <v>0</v>
      </c>
      <c r="H562" s="9" t="s">
        <v>1150</v>
      </c>
      <c r="I562" s="15">
        <v>1082127888</v>
      </c>
      <c r="J562" s="16" t="s">
        <v>1165</v>
      </c>
      <c r="K562" s="17">
        <v>1</v>
      </c>
      <c r="L562" s="18" t="s">
        <v>716</v>
      </c>
      <c r="M562" s="19">
        <v>201000</v>
      </c>
      <c r="N562" s="19">
        <v>0</v>
      </c>
      <c r="O562" s="19">
        <f t="shared" si="44"/>
        <v>201000</v>
      </c>
      <c r="P562" s="17" t="s">
        <v>570</v>
      </c>
      <c r="R562" s="31"/>
    </row>
    <row r="563" spans="1:18" x14ac:dyDescent="0.3">
      <c r="A563" s="9" t="s">
        <v>1091</v>
      </c>
      <c r="B563" s="10" t="s">
        <v>2053</v>
      </c>
      <c r="C563" s="11" t="s">
        <v>1149</v>
      </c>
      <c r="D563" s="12">
        <v>44001</v>
      </c>
      <c r="E563" s="12">
        <v>44005</v>
      </c>
      <c r="F563" s="13">
        <v>44287000</v>
      </c>
      <c r="G563" s="14">
        <v>0</v>
      </c>
      <c r="H563" s="9" t="s">
        <v>1150</v>
      </c>
      <c r="I563" s="15">
        <v>1082127888</v>
      </c>
      <c r="J563" s="16" t="s">
        <v>1166</v>
      </c>
      <c r="K563" s="17">
        <v>1</v>
      </c>
      <c r="L563" s="18" t="s">
        <v>716</v>
      </c>
      <c r="M563" s="19">
        <v>268000</v>
      </c>
      <c r="N563" s="19">
        <v>0</v>
      </c>
      <c r="O563" s="19">
        <f t="shared" si="44"/>
        <v>268000</v>
      </c>
      <c r="P563" s="17" t="s">
        <v>570</v>
      </c>
      <c r="R563" s="31"/>
    </row>
    <row r="564" spans="1:18" x14ac:dyDescent="0.3">
      <c r="A564" s="9" t="s">
        <v>1091</v>
      </c>
      <c r="B564" s="10" t="s">
        <v>2053</v>
      </c>
      <c r="C564" s="11" t="s">
        <v>1149</v>
      </c>
      <c r="D564" s="12">
        <v>44001</v>
      </c>
      <c r="E564" s="12">
        <v>44005</v>
      </c>
      <c r="F564" s="13">
        <v>44287000</v>
      </c>
      <c r="G564" s="14">
        <v>0</v>
      </c>
      <c r="H564" s="9" t="s">
        <v>1150</v>
      </c>
      <c r="I564" s="15">
        <v>1082127888</v>
      </c>
      <c r="J564" s="16" t="s">
        <v>1167</v>
      </c>
      <c r="K564" s="17">
        <v>1</v>
      </c>
      <c r="L564" s="18" t="s">
        <v>716</v>
      </c>
      <c r="M564" s="19">
        <v>268000</v>
      </c>
      <c r="N564" s="19">
        <v>0</v>
      </c>
      <c r="O564" s="19">
        <f t="shared" si="44"/>
        <v>268000</v>
      </c>
      <c r="P564" s="17" t="s">
        <v>570</v>
      </c>
      <c r="R564" s="31"/>
    </row>
    <row r="565" spans="1:18" x14ac:dyDescent="0.3">
      <c r="A565" s="9" t="s">
        <v>1091</v>
      </c>
      <c r="B565" s="10" t="s">
        <v>2053</v>
      </c>
      <c r="C565" s="11" t="s">
        <v>1149</v>
      </c>
      <c r="D565" s="12">
        <v>44001</v>
      </c>
      <c r="E565" s="12">
        <v>44005</v>
      </c>
      <c r="F565" s="13">
        <v>44287000</v>
      </c>
      <c r="G565" s="14">
        <v>0</v>
      </c>
      <c r="H565" s="9" t="s">
        <v>1150</v>
      </c>
      <c r="I565" s="15">
        <v>1082127888</v>
      </c>
      <c r="J565" s="16" t="s">
        <v>1168</v>
      </c>
      <c r="K565" s="17">
        <v>2</v>
      </c>
      <c r="L565" s="18" t="s">
        <v>716</v>
      </c>
      <c r="M565" s="19">
        <v>335000</v>
      </c>
      <c r="N565" s="19">
        <v>0</v>
      </c>
      <c r="O565" s="19">
        <f t="shared" si="44"/>
        <v>670000</v>
      </c>
      <c r="P565" s="17" t="s">
        <v>570</v>
      </c>
      <c r="R565" s="31"/>
    </row>
    <row r="566" spans="1:18" x14ac:dyDescent="0.3">
      <c r="A566" s="9" t="s">
        <v>1091</v>
      </c>
      <c r="B566" s="10" t="s">
        <v>2053</v>
      </c>
      <c r="C566" s="11" t="s">
        <v>1149</v>
      </c>
      <c r="D566" s="12">
        <v>44001</v>
      </c>
      <c r="E566" s="12">
        <v>44005</v>
      </c>
      <c r="F566" s="13">
        <v>44287000</v>
      </c>
      <c r="G566" s="14">
        <v>0</v>
      </c>
      <c r="H566" s="9" t="s">
        <v>1150</v>
      </c>
      <c r="I566" s="15">
        <v>1082127888</v>
      </c>
      <c r="J566" s="16" t="s">
        <v>1169</v>
      </c>
      <c r="K566" s="17">
        <v>1</v>
      </c>
      <c r="L566" s="18" t="s">
        <v>716</v>
      </c>
      <c r="M566" s="19">
        <v>201000</v>
      </c>
      <c r="N566" s="19">
        <v>0</v>
      </c>
      <c r="O566" s="19">
        <f t="shared" si="44"/>
        <v>201000</v>
      </c>
      <c r="P566" s="17" t="s">
        <v>570</v>
      </c>
      <c r="R566" s="31"/>
    </row>
    <row r="567" spans="1:18" x14ac:dyDescent="0.3">
      <c r="A567" s="9" t="s">
        <v>1091</v>
      </c>
      <c r="B567" s="10" t="s">
        <v>2053</v>
      </c>
      <c r="C567" s="11" t="s">
        <v>1149</v>
      </c>
      <c r="D567" s="12">
        <v>44001</v>
      </c>
      <c r="E567" s="12">
        <v>44005</v>
      </c>
      <c r="F567" s="13">
        <v>44287000</v>
      </c>
      <c r="G567" s="14">
        <v>0</v>
      </c>
      <c r="H567" s="9" t="s">
        <v>1150</v>
      </c>
      <c r="I567" s="15">
        <v>1082127888</v>
      </c>
      <c r="J567" s="16" t="s">
        <v>1170</v>
      </c>
      <c r="K567" s="17">
        <v>2</v>
      </c>
      <c r="L567" s="18" t="s">
        <v>716</v>
      </c>
      <c r="M567" s="19">
        <v>268000</v>
      </c>
      <c r="N567" s="19">
        <v>0</v>
      </c>
      <c r="O567" s="19">
        <f t="shared" si="44"/>
        <v>536000</v>
      </c>
      <c r="P567" s="17" t="s">
        <v>570</v>
      </c>
      <c r="R567" s="31"/>
    </row>
    <row r="568" spans="1:18" x14ac:dyDescent="0.3">
      <c r="A568" s="9" t="s">
        <v>1091</v>
      </c>
      <c r="B568" s="10" t="s">
        <v>2053</v>
      </c>
      <c r="C568" s="11" t="s">
        <v>1149</v>
      </c>
      <c r="D568" s="12">
        <v>44001</v>
      </c>
      <c r="E568" s="12">
        <v>44005</v>
      </c>
      <c r="F568" s="13">
        <v>44287000</v>
      </c>
      <c r="G568" s="14">
        <v>0</v>
      </c>
      <c r="H568" s="9" t="s">
        <v>1150</v>
      </c>
      <c r="I568" s="15">
        <v>1082127888</v>
      </c>
      <c r="J568" s="16" t="s">
        <v>1171</v>
      </c>
      <c r="K568" s="17">
        <v>1</v>
      </c>
      <c r="L568" s="18" t="s">
        <v>716</v>
      </c>
      <c r="M568" s="19">
        <v>201000</v>
      </c>
      <c r="N568" s="19">
        <v>0</v>
      </c>
      <c r="O568" s="19">
        <f t="shared" si="44"/>
        <v>201000</v>
      </c>
      <c r="P568" s="17" t="s">
        <v>570</v>
      </c>
      <c r="R568" s="31"/>
    </row>
    <row r="569" spans="1:18" x14ac:dyDescent="0.3">
      <c r="A569" s="9" t="s">
        <v>1091</v>
      </c>
      <c r="B569" s="10" t="s">
        <v>2053</v>
      </c>
      <c r="C569" s="11" t="s">
        <v>1149</v>
      </c>
      <c r="D569" s="12">
        <v>44001</v>
      </c>
      <c r="E569" s="12">
        <v>44005</v>
      </c>
      <c r="F569" s="13">
        <v>44287000</v>
      </c>
      <c r="G569" s="14">
        <v>0</v>
      </c>
      <c r="H569" s="9" t="s">
        <v>1150</v>
      </c>
      <c r="I569" s="15">
        <v>1082127888</v>
      </c>
      <c r="J569" s="16" t="s">
        <v>1172</v>
      </c>
      <c r="K569" s="17">
        <v>1</v>
      </c>
      <c r="L569" s="18" t="s">
        <v>716</v>
      </c>
      <c r="M569" s="19">
        <v>167500</v>
      </c>
      <c r="N569" s="19">
        <v>0</v>
      </c>
      <c r="O569" s="19">
        <f t="shared" si="44"/>
        <v>167500</v>
      </c>
      <c r="P569" s="17" t="s">
        <v>570</v>
      </c>
      <c r="R569" s="31"/>
    </row>
    <row r="570" spans="1:18" x14ac:dyDescent="0.3">
      <c r="A570" s="9" t="s">
        <v>1091</v>
      </c>
      <c r="B570" s="10" t="s">
        <v>2053</v>
      </c>
      <c r="C570" s="11" t="s">
        <v>1149</v>
      </c>
      <c r="D570" s="12">
        <v>44001</v>
      </c>
      <c r="E570" s="12">
        <v>44005</v>
      </c>
      <c r="F570" s="13">
        <v>44287000</v>
      </c>
      <c r="G570" s="14">
        <v>0</v>
      </c>
      <c r="H570" s="9" t="s">
        <v>1150</v>
      </c>
      <c r="I570" s="15">
        <v>1082127888</v>
      </c>
      <c r="J570" s="16" t="s">
        <v>1173</v>
      </c>
      <c r="K570" s="17">
        <v>1</v>
      </c>
      <c r="L570" s="18" t="s">
        <v>716</v>
      </c>
      <c r="M570" s="19">
        <v>201000</v>
      </c>
      <c r="N570" s="19">
        <v>0</v>
      </c>
      <c r="O570" s="19">
        <f t="shared" si="44"/>
        <v>201000</v>
      </c>
      <c r="P570" s="17" t="s">
        <v>570</v>
      </c>
      <c r="R570" s="31"/>
    </row>
    <row r="571" spans="1:18" x14ac:dyDescent="0.3">
      <c r="A571" s="9" t="s">
        <v>1091</v>
      </c>
      <c r="B571" s="10" t="s">
        <v>2053</v>
      </c>
      <c r="C571" s="11" t="s">
        <v>1149</v>
      </c>
      <c r="D571" s="12">
        <v>44001</v>
      </c>
      <c r="E571" s="12">
        <v>44005</v>
      </c>
      <c r="F571" s="13">
        <v>44287000</v>
      </c>
      <c r="G571" s="14">
        <v>0</v>
      </c>
      <c r="H571" s="9" t="s">
        <v>1150</v>
      </c>
      <c r="I571" s="15">
        <v>1082127888</v>
      </c>
      <c r="J571" s="16" t="s">
        <v>1174</v>
      </c>
      <c r="K571" s="17">
        <v>1</v>
      </c>
      <c r="L571" s="18" t="s">
        <v>716</v>
      </c>
      <c r="M571" s="19">
        <v>201000</v>
      </c>
      <c r="N571" s="19">
        <v>0</v>
      </c>
      <c r="O571" s="19">
        <f t="shared" si="44"/>
        <v>201000</v>
      </c>
      <c r="P571" s="17" t="s">
        <v>570</v>
      </c>
      <c r="R571" s="31"/>
    </row>
    <row r="572" spans="1:18" x14ac:dyDescent="0.3">
      <c r="A572" s="9" t="s">
        <v>1091</v>
      </c>
      <c r="B572" s="10" t="s">
        <v>2053</v>
      </c>
      <c r="C572" s="11" t="s">
        <v>1149</v>
      </c>
      <c r="D572" s="12">
        <v>44001</v>
      </c>
      <c r="E572" s="12">
        <v>44005</v>
      </c>
      <c r="F572" s="13">
        <v>44287000</v>
      </c>
      <c r="G572" s="14">
        <v>0</v>
      </c>
      <c r="H572" s="9" t="s">
        <v>1150</v>
      </c>
      <c r="I572" s="15">
        <v>1082127888</v>
      </c>
      <c r="J572" s="16" t="s">
        <v>1175</v>
      </c>
      <c r="K572" s="17">
        <v>3</v>
      </c>
      <c r="L572" s="18" t="s">
        <v>716</v>
      </c>
      <c r="M572" s="19">
        <v>670000</v>
      </c>
      <c r="N572" s="19">
        <v>0</v>
      </c>
      <c r="O572" s="19">
        <f t="shared" si="44"/>
        <v>2010000</v>
      </c>
      <c r="P572" s="17" t="s">
        <v>570</v>
      </c>
      <c r="R572" s="31"/>
    </row>
    <row r="573" spans="1:18" x14ac:dyDescent="0.3">
      <c r="A573" s="9" t="s">
        <v>1091</v>
      </c>
      <c r="B573" s="10" t="s">
        <v>2053</v>
      </c>
      <c r="C573" s="11" t="s">
        <v>1149</v>
      </c>
      <c r="D573" s="12">
        <v>44001</v>
      </c>
      <c r="E573" s="12">
        <v>44005</v>
      </c>
      <c r="F573" s="13">
        <v>44287000</v>
      </c>
      <c r="G573" s="14">
        <v>0</v>
      </c>
      <c r="H573" s="9" t="s">
        <v>1150</v>
      </c>
      <c r="I573" s="15">
        <v>1082127888</v>
      </c>
      <c r="J573" s="16" t="s">
        <v>1176</v>
      </c>
      <c r="K573" s="17">
        <v>1</v>
      </c>
      <c r="L573" s="18" t="s">
        <v>716</v>
      </c>
      <c r="M573" s="19">
        <v>234500</v>
      </c>
      <c r="N573" s="19">
        <v>0</v>
      </c>
      <c r="O573" s="19">
        <f t="shared" si="44"/>
        <v>234500</v>
      </c>
      <c r="P573" s="17" t="s">
        <v>570</v>
      </c>
      <c r="R573" s="31"/>
    </row>
    <row r="574" spans="1:18" x14ac:dyDescent="0.3">
      <c r="A574" s="9" t="s">
        <v>1091</v>
      </c>
      <c r="B574" s="10" t="s">
        <v>2053</v>
      </c>
      <c r="C574" s="11" t="s">
        <v>1149</v>
      </c>
      <c r="D574" s="12">
        <v>44001</v>
      </c>
      <c r="E574" s="12">
        <v>44005</v>
      </c>
      <c r="F574" s="13">
        <v>44287000</v>
      </c>
      <c r="G574" s="14">
        <v>0</v>
      </c>
      <c r="H574" s="9" t="s">
        <v>1150</v>
      </c>
      <c r="I574" s="15">
        <v>1082127888</v>
      </c>
      <c r="J574" s="16" t="s">
        <v>1177</v>
      </c>
      <c r="K574" s="17">
        <v>1</v>
      </c>
      <c r="L574" s="18" t="s">
        <v>716</v>
      </c>
      <c r="M574" s="19">
        <v>234500</v>
      </c>
      <c r="N574" s="19">
        <v>0</v>
      </c>
      <c r="O574" s="19">
        <f t="shared" si="44"/>
        <v>234500</v>
      </c>
      <c r="P574" s="17" t="s">
        <v>570</v>
      </c>
      <c r="R574" s="31"/>
    </row>
    <row r="575" spans="1:18" x14ac:dyDescent="0.3">
      <c r="A575" s="9" t="s">
        <v>1091</v>
      </c>
      <c r="B575" s="10" t="s">
        <v>2053</v>
      </c>
      <c r="C575" s="11" t="s">
        <v>1149</v>
      </c>
      <c r="D575" s="12">
        <v>44001</v>
      </c>
      <c r="E575" s="12">
        <v>44005</v>
      </c>
      <c r="F575" s="13">
        <v>44287000</v>
      </c>
      <c r="G575" s="14">
        <v>0</v>
      </c>
      <c r="H575" s="9" t="s">
        <v>1150</v>
      </c>
      <c r="I575" s="15">
        <v>1082127888</v>
      </c>
      <c r="J575" s="16" t="s">
        <v>1178</v>
      </c>
      <c r="K575" s="17">
        <v>2</v>
      </c>
      <c r="L575" s="18" t="s">
        <v>716</v>
      </c>
      <c r="M575" s="19">
        <v>234500</v>
      </c>
      <c r="N575" s="19">
        <v>0</v>
      </c>
      <c r="O575" s="19">
        <f t="shared" si="44"/>
        <v>469000</v>
      </c>
      <c r="P575" s="17" t="s">
        <v>570</v>
      </c>
      <c r="R575" s="31"/>
    </row>
    <row r="576" spans="1:18" x14ac:dyDescent="0.3">
      <c r="A576" s="9" t="s">
        <v>1091</v>
      </c>
      <c r="B576" s="10" t="s">
        <v>2053</v>
      </c>
      <c r="C576" s="11" t="s">
        <v>1149</v>
      </c>
      <c r="D576" s="12">
        <v>44001</v>
      </c>
      <c r="E576" s="12">
        <v>44005</v>
      </c>
      <c r="F576" s="13">
        <v>44287000</v>
      </c>
      <c r="G576" s="14">
        <v>0</v>
      </c>
      <c r="H576" s="9" t="s">
        <v>1150</v>
      </c>
      <c r="I576" s="15">
        <v>1082127888</v>
      </c>
      <c r="J576" s="16" t="s">
        <v>1178</v>
      </c>
      <c r="K576" s="17">
        <v>1</v>
      </c>
      <c r="L576" s="18" t="s">
        <v>716</v>
      </c>
      <c r="M576" s="19">
        <v>234500</v>
      </c>
      <c r="N576" s="19">
        <v>0</v>
      </c>
      <c r="O576" s="19">
        <f t="shared" si="44"/>
        <v>234500</v>
      </c>
      <c r="P576" s="17" t="s">
        <v>570</v>
      </c>
      <c r="R576" s="31"/>
    </row>
    <row r="577" spans="1:18" x14ac:dyDescent="0.3">
      <c r="A577" s="9" t="s">
        <v>1091</v>
      </c>
      <c r="B577" s="10" t="s">
        <v>2053</v>
      </c>
      <c r="C577" s="11" t="s">
        <v>1149</v>
      </c>
      <c r="D577" s="12">
        <v>44001</v>
      </c>
      <c r="E577" s="12">
        <v>44005</v>
      </c>
      <c r="F577" s="13">
        <v>44287000</v>
      </c>
      <c r="G577" s="14">
        <v>0</v>
      </c>
      <c r="H577" s="9" t="s">
        <v>1150</v>
      </c>
      <c r="I577" s="15">
        <v>1082127888</v>
      </c>
      <c r="J577" s="16" t="s">
        <v>1179</v>
      </c>
      <c r="K577" s="17">
        <v>1</v>
      </c>
      <c r="L577" s="18" t="s">
        <v>716</v>
      </c>
      <c r="M577" s="19">
        <v>234500</v>
      </c>
      <c r="N577" s="19">
        <v>0</v>
      </c>
      <c r="O577" s="19">
        <f t="shared" si="44"/>
        <v>234500</v>
      </c>
      <c r="P577" s="17" t="s">
        <v>570</v>
      </c>
      <c r="R577" s="31"/>
    </row>
    <row r="578" spans="1:18" x14ac:dyDescent="0.3">
      <c r="A578" s="9" t="s">
        <v>1091</v>
      </c>
      <c r="B578" s="10" t="s">
        <v>2053</v>
      </c>
      <c r="C578" s="11" t="s">
        <v>1149</v>
      </c>
      <c r="D578" s="12">
        <v>44001</v>
      </c>
      <c r="E578" s="12">
        <v>44005</v>
      </c>
      <c r="F578" s="13">
        <v>44287000</v>
      </c>
      <c r="G578" s="14">
        <v>0</v>
      </c>
      <c r="H578" s="9" t="s">
        <v>1150</v>
      </c>
      <c r="I578" s="15">
        <v>1082127888</v>
      </c>
      <c r="J578" s="16" t="s">
        <v>1180</v>
      </c>
      <c r="K578" s="17">
        <v>1</v>
      </c>
      <c r="L578" s="18" t="s">
        <v>716</v>
      </c>
      <c r="M578" s="19">
        <v>234500</v>
      </c>
      <c r="N578" s="19">
        <v>0</v>
      </c>
      <c r="O578" s="19">
        <f t="shared" si="44"/>
        <v>234500</v>
      </c>
      <c r="P578" s="17" t="s">
        <v>570</v>
      </c>
      <c r="R578" s="31"/>
    </row>
    <row r="579" spans="1:18" x14ac:dyDescent="0.3">
      <c r="A579" s="9" t="s">
        <v>1091</v>
      </c>
      <c r="B579" s="10" t="s">
        <v>2053</v>
      </c>
      <c r="C579" s="11" t="s">
        <v>1149</v>
      </c>
      <c r="D579" s="12">
        <v>44001</v>
      </c>
      <c r="E579" s="12">
        <v>44005</v>
      </c>
      <c r="F579" s="13">
        <v>44287000</v>
      </c>
      <c r="G579" s="14">
        <v>0</v>
      </c>
      <c r="H579" s="9" t="s">
        <v>1150</v>
      </c>
      <c r="I579" s="15">
        <v>1082127888</v>
      </c>
      <c r="J579" s="16" t="s">
        <v>1181</v>
      </c>
      <c r="K579" s="17">
        <v>1</v>
      </c>
      <c r="L579" s="18" t="s">
        <v>716</v>
      </c>
      <c r="M579" s="19">
        <v>234500</v>
      </c>
      <c r="N579" s="19">
        <v>0</v>
      </c>
      <c r="O579" s="19">
        <f t="shared" si="44"/>
        <v>234500</v>
      </c>
      <c r="P579" s="17" t="s">
        <v>570</v>
      </c>
      <c r="R579" s="31"/>
    </row>
    <row r="580" spans="1:18" x14ac:dyDescent="0.3">
      <c r="A580" s="9" t="s">
        <v>1091</v>
      </c>
      <c r="B580" s="10" t="s">
        <v>2053</v>
      </c>
      <c r="C580" s="11" t="s">
        <v>1149</v>
      </c>
      <c r="D580" s="12">
        <v>44001</v>
      </c>
      <c r="E580" s="12">
        <v>44005</v>
      </c>
      <c r="F580" s="13">
        <v>44287000</v>
      </c>
      <c r="G580" s="14">
        <v>0</v>
      </c>
      <c r="H580" s="9" t="s">
        <v>1150</v>
      </c>
      <c r="I580" s="15">
        <v>1082127888</v>
      </c>
      <c r="J580" s="16" t="s">
        <v>1182</v>
      </c>
      <c r="K580" s="17">
        <v>1</v>
      </c>
      <c r="L580" s="18" t="s">
        <v>716</v>
      </c>
      <c r="M580" s="19">
        <v>234500</v>
      </c>
      <c r="N580" s="19">
        <v>0</v>
      </c>
      <c r="O580" s="19">
        <f t="shared" si="44"/>
        <v>234500</v>
      </c>
      <c r="P580" s="17" t="s">
        <v>570</v>
      </c>
      <c r="R580" s="31"/>
    </row>
    <row r="581" spans="1:18" x14ac:dyDescent="0.3">
      <c r="A581" s="9" t="s">
        <v>1091</v>
      </c>
      <c r="B581" s="10" t="s">
        <v>2053</v>
      </c>
      <c r="C581" s="11" t="s">
        <v>1149</v>
      </c>
      <c r="D581" s="12">
        <v>44001</v>
      </c>
      <c r="E581" s="12">
        <v>44005</v>
      </c>
      <c r="F581" s="13">
        <v>44287000</v>
      </c>
      <c r="G581" s="14">
        <v>0</v>
      </c>
      <c r="H581" s="9" t="s">
        <v>1150</v>
      </c>
      <c r="I581" s="15">
        <v>1082127888</v>
      </c>
      <c r="J581" s="16" t="s">
        <v>1183</v>
      </c>
      <c r="K581" s="17">
        <v>1</v>
      </c>
      <c r="L581" s="18" t="s">
        <v>716</v>
      </c>
      <c r="M581" s="19">
        <v>234500</v>
      </c>
      <c r="N581" s="19">
        <v>0</v>
      </c>
      <c r="O581" s="19">
        <f t="shared" si="44"/>
        <v>234500</v>
      </c>
      <c r="P581" s="17" t="s">
        <v>570</v>
      </c>
      <c r="R581" s="31"/>
    </row>
    <row r="582" spans="1:18" x14ac:dyDescent="0.3">
      <c r="A582" s="9" t="s">
        <v>1091</v>
      </c>
      <c r="B582" s="10" t="s">
        <v>2053</v>
      </c>
      <c r="C582" s="11" t="s">
        <v>1149</v>
      </c>
      <c r="D582" s="12">
        <v>44001</v>
      </c>
      <c r="E582" s="12">
        <v>44005</v>
      </c>
      <c r="F582" s="13">
        <v>44287000</v>
      </c>
      <c r="G582" s="14">
        <v>0</v>
      </c>
      <c r="H582" s="9" t="s">
        <v>1150</v>
      </c>
      <c r="I582" s="15">
        <v>1082127888</v>
      </c>
      <c r="J582" s="16" t="s">
        <v>1184</v>
      </c>
      <c r="K582" s="17">
        <v>1</v>
      </c>
      <c r="L582" s="18" t="s">
        <v>716</v>
      </c>
      <c r="M582" s="19">
        <v>234500</v>
      </c>
      <c r="N582" s="19">
        <v>0</v>
      </c>
      <c r="O582" s="19">
        <f t="shared" si="44"/>
        <v>234500</v>
      </c>
      <c r="P582" s="17" t="s">
        <v>570</v>
      </c>
      <c r="R582" s="31"/>
    </row>
    <row r="583" spans="1:18" x14ac:dyDescent="0.3">
      <c r="A583" s="9" t="s">
        <v>1091</v>
      </c>
      <c r="B583" s="10" t="s">
        <v>2053</v>
      </c>
      <c r="C583" s="11" t="s">
        <v>1149</v>
      </c>
      <c r="D583" s="12">
        <v>44001</v>
      </c>
      <c r="E583" s="12">
        <v>44005</v>
      </c>
      <c r="F583" s="13">
        <v>44287000</v>
      </c>
      <c r="G583" s="14">
        <v>0</v>
      </c>
      <c r="H583" s="9" t="s">
        <v>1150</v>
      </c>
      <c r="I583" s="15">
        <v>1082127888</v>
      </c>
      <c r="J583" s="16" t="s">
        <v>1185</v>
      </c>
      <c r="K583" s="17">
        <v>1</v>
      </c>
      <c r="L583" s="18" t="s">
        <v>716</v>
      </c>
      <c r="M583" s="19">
        <v>234500</v>
      </c>
      <c r="N583" s="19">
        <v>0</v>
      </c>
      <c r="O583" s="19">
        <f t="shared" si="44"/>
        <v>234500</v>
      </c>
      <c r="P583" s="17" t="s">
        <v>570</v>
      </c>
      <c r="R583" s="31"/>
    </row>
    <row r="584" spans="1:18" x14ac:dyDescent="0.3">
      <c r="A584" s="9" t="s">
        <v>1091</v>
      </c>
      <c r="B584" s="10" t="s">
        <v>2053</v>
      </c>
      <c r="C584" s="11" t="s">
        <v>1149</v>
      </c>
      <c r="D584" s="12">
        <v>44001</v>
      </c>
      <c r="E584" s="12">
        <v>44005</v>
      </c>
      <c r="F584" s="13">
        <v>44287000</v>
      </c>
      <c r="G584" s="14">
        <v>0</v>
      </c>
      <c r="H584" s="9" t="s">
        <v>1150</v>
      </c>
      <c r="I584" s="15">
        <v>1082127888</v>
      </c>
      <c r="J584" s="16" t="s">
        <v>1186</v>
      </c>
      <c r="K584" s="17">
        <v>1</v>
      </c>
      <c r="L584" s="18" t="s">
        <v>716</v>
      </c>
      <c r="M584" s="19">
        <v>234500</v>
      </c>
      <c r="N584" s="19">
        <v>0</v>
      </c>
      <c r="O584" s="19">
        <f t="shared" si="44"/>
        <v>234500</v>
      </c>
      <c r="P584" s="17" t="s">
        <v>570</v>
      </c>
      <c r="R584" s="31"/>
    </row>
    <row r="585" spans="1:18" x14ac:dyDescent="0.3">
      <c r="A585" s="9" t="s">
        <v>1091</v>
      </c>
      <c r="B585" s="10" t="s">
        <v>2053</v>
      </c>
      <c r="C585" s="11" t="s">
        <v>1149</v>
      </c>
      <c r="D585" s="12">
        <v>44001</v>
      </c>
      <c r="E585" s="12">
        <v>44005</v>
      </c>
      <c r="F585" s="13">
        <v>44287000</v>
      </c>
      <c r="G585" s="14">
        <v>0</v>
      </c>
      <c r="H585" s="9" t="s">
        <v>1150</v>
      </c>
      <c r="I585" s="15">
        <v>1082127888</v>
      </c>
      <c r="J585" s="16" t="s">
        <v>1187</v>
      </c>
      <c r="K585" s="17">
        <v>1</v>
      </c>
      <c r="L585" s="18" t="s">
        <v>716</v>
      </c>
      <c r="M585" s="19">
        <v>234500</v>
      </c>
      <c r="N585" s="19">
        <v>0</v>
      </c>
      <c r="O585" s="19">
        <f t="shared" si="44"/>
        <v>234500</v>
      </c>
      <c r="P585" s="17" t="s">
        <v>570</v>
      </c>
      <c r="R585" s="31"/>
    </row>
    <row r="586" spans="1:18" x14ac:dyDescent="0.3">
      <c r="A586" s="9" t="s">
        <v>1091</v>
      </c>
      <c r="B586" s="10" t="s">
        <v>2053</v>
      </c>
      <c r="C586" s="11" t="s">
        <v>1149</v>
      </c>
      <c r="D586" s="12">
        <v>44001</v>
      </c>
      <c r="E586" s="12">
        <v>44005</v>
      </c>
      <c r="F586" s="13">
        <v>44287000</v>
      </c>
      <c r="G586" s="14">
        <v>0</v>
      </c>
      <c r="H586" s="9" t="s">
        <v>1150</v>
      </c>
      <c r="I586" s="15">
        <v>1082127888</v>
      </c>
      <c r="J586" s="16" t="s">
        <v>1188</v>
      </c>
      <c r="K586" s="17">
        <v>2</v>
      </c>
      <c r="L586" s="18" t="s">
        <v>716</v>
      </c>
      <c r="M586" s="19">
        <v>301500</v>
      </c>
      <c r="N586" s="19">
        <v>0</v>
      </c>
      <c r="O586" s="19">
        <f t="shared" si="44"/>
        <v>603000</v>
      </c>
      <c r="P586" s="17" t="s">
        <v>570</v>
      </c>
      <c r="R586" s="31"/>
    </row>
    <row r="587" spans="1:18" x14ac:dyDescent="0.3">
      <c r="A587" s="9" t="s">
        <v>1091</v>
      </c>
      <c r="B587" s="10" t="s">
        <v>2053</v>
      </c>
      <c r="C587" s="11" t="s">
        <v>1149</v>
      </c>
      <c r="D587" s="12">
        <v>44001</v>
      </c>
      <c r="E587" s="12">
        <v>44005</v>
      </c>
      <c r="F587" s="13">
        <v>44287000</v>
      </c>
      <c r="G587" s="14">
        <v>0</v>
      </c>
      <c r="H587" s="9" t="s">
        <v>1150</v>
      </c>
      <c r="I587" s="15">
        <v>1082127888</v>
      </c>
      <c r="J587" s="16" t="s">
        <v>1189</v>
      </c>
      <c r="K587" s="17">
        <v>1</v>
      </c>
      <c r="L587" s="18" t="s">
        <v>716</v>
      </c>
      <c r="M587" s="19">
        <v>234500</v>
      </c>
      <c r="N587" s="19">
        <v>0</v>
      </c>
      <c r="O587" s="19">
        <f t="shared" si="44"/>
        <v>234500</v>
      </c>
      <c r="P587" s="17" t="s">
        <v>570</v>
      </c>
      <c r="R587" s="31"/>
    </row>
    <row r="588" spans="1:18" x14ac:dyDescent="0.3">
      <c r="A588" s="9" t="s">
        <v>1091</v>
      </c>
      <c r="B588" s="10" t="s">
        <v>2053</v>
      </c>
      <c r="C588" s="11" t="s">
        <v>1149</v>
      </c>
      <c r="D588" s="12">
        <v>44001</v>
      </c>
      <c r="E588" s="12">
        <v>44005</v>
      </c>
      <c r="F588" s="13">
        <v>44287000</v>
      </c>
      <c r="G588" s="14">
        <v>0</v>
      </c>
      <c r="H588" s="9" t="s">
        <v>1150</v>
      </c>
      <c r="I588" s="15">
        <v>1082127888</v>
      </c>
      <c r="J588" s="16" t="s">
        <v>1190</v>
      </c>
      <c r="K588" s="17">
        <v>1</v>
      </c>
      <c r="L588" s="18" t="s">
        <v>716</v>
      </c>
      <c r="M588" s="19">
        <v>234500</v>
      </c>
      <c r="N588" s="19">
        <v>0</v>
      </c>
      <c r="O588" s="19">
        <f t="shared" ref="O588:O651" si="45">K588*(M588+N588)</f>
        <v>234500</v>
      </c>
      <c r="P588" s="17" t="s">
        <v>570</v>
      </c>
      <c r="R588" s="31"/>
    </row>
    <row r="589" spans="1:18" x14ac:dyDescent="0.3">
      <c r="A589" s="9" t="s">
        <v>1091</v>
      </c>
      <c r="B589" s="10" t="s">
        <v>2053</v>
      </c>
      <c r="C589" s="11" t="s">
        <v>1149</v>
      </c>
      <c r="D589" s="12">
        <v>44001</v>
      </c>
      <c r="E589" s="12">
        <v>44005</v>
      </c>
      <c r="F589" s="13">
        <v>44287000</v>
      </c>
      <c r="G589" s="14">
        <v>0</v>
      </c>
      <c r="H589" s="9" t="s">
        <v>1150</v>
      </c>
      <c r="I589" s="15">
        <v>1082127888</v>
      </c>
      <c r="J589" s="16" t="s">
        <v>1191</v>
      </c>
      <c r="K589" s="17">
        <v>1</v>
      </c>
      <c r="L589" s="18" t="s">
        <v>716</v>
      </c>
      <c r="M589" s="19">
        <v>234500</v>
      </c>
      <c r="N589" s="19">
        <v>0</v>
      </c>
      <c r="O589" s="19">
        <f t="shared" si="45"/>
        <v>234500</v>
      </c>
      <c r="P589" s="17" t="s">
        <v>570</v>
      </c>
      <c r="R589" s="31"/>
    </row>
    <row r="590" spans="1:18" x14ac:dyDescent="0.3">
      <c r="A590" s="9" t="s">
        <v>1091</v>
      </c>
      <c r="B590" s="10" t="s">
        <v>2053</v>
      </c>
      <c r="C590" s="11" t="s">
        <v>1149</v>
      </c>
      <c r="D590" s="12">
        <v>44001</v>
      </c>
      <c r="E590" s="12">
        <v>44005</v>
      </c>
      <c r="F590" s="13">
        <v>44287000</v>
      </c>
      <c r="G590" s="14">
        <v>0</v>
      </c>
      <c r="H590" s="9" t="s">
        <v>1150</v>
      </c>
      <c r="I590" s="15">
        <v>1082127888</v>
      </c>
      <c r="J590" s="16" t="s">
        <v>1907</v>
      </c>
      <c r="K590" s="17">
        <v>2</v>
      </c>
      <c r="L590" s="18" t="s">
        <v>716</v>
      </c>
      <c r="M590" s="19">
        <v>569500</v>
      </c>
      <c r="N590" s="19">
        <v>0</v>
      </c>
      <c r="O590" s="19">
        <f t="shared" si="45"/>
        <v>1139000</v>
      </c>
      <c r="P590" s="17" t="s">
        <v>570</v>
      </c>
      <c r="R590" s="31"/>
    </row>
    <row r="591" spans="1:18" x14ac:dyDescent="0.3">
      <c r="A591" s="9" t="s">
        <v>1091</v>
      </c>
      <c r="B591" s="10" t="s">
        <v>2053</v>
      </c>
      <c r="C591" s="11" t="s">
        <v>1149</v>
      </c>
      <c r="D591" s="12">
        <v>44001</v>
      </c>
      <c r="E591" s="12">
        <v>44005</v>
      </c>
      <c r="F591" s="13">
        <v>44287000</v>
      </c>
      <c r="G591" s="14">
        <v>0</v>
      </c>
      <c r="H591" s="9" t="s">
        <v>1150</v>
      </c>
      <c r="I591" s="15">
        <v>1082127888</v>
      </c>
      <c r="J591" s="16" t="s">
        <v>1192</v>
      </c>
      <c r="K591" s="17">
        <v>1</v>
      </c>
      <c r="L591" s="18" t="s">
        <v>716</v>
      </c>
      <c r="M591" s="19">
        <v>301500</v>
      </c>
      <c r="N591" s="19">
        <v>0</v>
      </c>
      <c r="O591" s="19">
        <f t="shared" si="45"/>
        <v>301500</v>
      </c>
      <c r="P591" s="17" t="s">
        <v>570</v>
      </c>
      <c r="R591" s="31"/>
    </row>
    <row r="592" spans="1:18" x14ac:dyDescent="0.3">
      <c r="A592" s="9" t="s">
        <v>1091</v>
      </c>
      <c r="B592" s="10" t="s">
        <v>2053</v>
      </c>
      <c r="C592" s="11" t="s">
        <v>1149</v>
      </c>
      <c r="D592" s="12">
        <v>44001</v>
      </c>
      <c r="E592" s="12">
        <v>44005</v>
      </c>
      <c r="F592" s="13">
        <v>44287000</v>
      </c>
      <c r="G592" s="14">
        <v>0</v>
      </c>
      <c r="H592" s="9" t="s">
        <v>1150</v>
      </c>
      <c r="I592" s="15">
        <v>1082127888</v>
      </c>
      <c r="J592" s="16" t="s">
        <v>1193</v>
      </c>
      <c r="K592" s="17">
        <v>1</v>
      </c>
      <c r="L592" s="18" t="s">
        <v>716</v>
      </c>
      <c r="M592" s="19">
        <v>301500</v>
      </c>
      <c r="N592" s="19">
        <v>0</v>
      </c>
      <c r="O592" s="19">
        <f t="shared" si="45"/>
        <v>301500</v>
      </c>
      <c r="P592" s="17" t="s">
        <v>570</v>
      </c>
      <c r="R592" s="31"/>
    </row>
    <row r="593" spans="1:18" x14ac:dyDescent="0.3">
      <c r="A593" s="9" t="s">
        <v>1091</v>
      </c>
      <c r="B593" s="10" t="s">
        <v>2053</v>
      </c>
      <c r="C593" s="11" t="s">
        <v>1149</v>
      </c>
      <c r="D593" s="12">
        <v>44001</v>
      </c>
      <c r="E593" s="12">
        <v>44005</v>
      </c>
      <c r="F593" s="13">
        <v>44287000</v>
      </c>
      <c r="G593" s="14">
        <v>0</v>
      </c>
      <c r="H593" s="9" t="s">
        <v>1150</v>
      </c>
      <c r="I593" s="15">
        <v>1082127888</v>
      </c>
      <c r="J593" s="16" t="s">
        <v>1908</v>
      </c>
      <c r="K593" s="17">
        <v>2</v>
      </c>
      <c r="L593" s="18" t="s">
        <v>716</v>
      </c>
      <c r="M593" s="19">
        <v>234500</v>
      </c>
      <c r="N593" s="19">
        <v>0</v>
      </c>
      <c r="O593" s="19">
        <f t="shared" si="45"/>
        <v>469000</v>
      </c>
      <c r="P593" s="17" t="s">
        <v>570</v>
      </c>
      <c r="R593" s="31"/>
    </row>
    <row r="594" spans="1:18" x14ac:dyDescent="0.3">
      <c r="A594" s="9" t="s">
        <v>1091</v>
      </c>
      <c r="B594" s="10" t="s">
        <v>2053</v>
      </c>
      <c r="C594" s="11" t="s">
        <v>1149</v>
      </c>
      <c r="D594" s="12">
        <v>44001</v>
      </c>
      <c r="E594" s="12">
        <v>44005</v>
      </c>
      <c r="F594" s="13">
        <v>44287000</v>
      </c>
      <c r="G594" s="14">
        <v>0</v>
      </c>
      <c r="H594" s="9" t="s">
        <v>1150</v>
      </c>
      <c r="I594" s="15">
        <v>1082127888</v>
      </c>
      <c r="J594" s="16" t="s">
        <v>1194</v>
      </c>
      <c r="K594" s="17">
        <v>2</v>
      </c>
      <c r="L594" s="18" t="s">
        <v>716</v>
      </c>
      <c r="M594" s="19">
        <v>167500</v>
      </c>
      <c r="N594" s="19">
        <v>0</v>
      </c>
      <c r="O594" s="19">
        <f t="shared" si="45"/>
        <v>335000</v>
      </c>
      <c r="P594" s="17" t="s">
        <v>570</v>
      </c>
      <c r="R594" s="31"/>
    </row>
    <row r="595" spans="1:18" x14ac:dyDescent="0.3">
      <c r="A595" s="9" t="s">
        <v>1091</v>
      </c>
      <c r="B595" s="10" t="s">
        <v>2053</v>
      </c>
      <c r="C595" s="11" t="s">
        <v>1149</v>
      </c>
      <c r="D595" s="12">
        <v>44001</v>
      </c>
      <c r="E595" s="12">
        <v>44005</v>
      </c>
      <c r="F595" s="13">
        <v>44287000</v>
      </c>
      <c r="G595" s="14">
        <v>0</v>
      </c>
      <c r="H595" s="9" t="s">
        <v>1150</v>
      </c>
      <c r="I595" s="15">
        <v>1082127888</v>
      </c>
      <c r="J595" s="16" t="s">
        <v>1195</v>
      </c>
      <c r="K595" s="17">
        <v>1</v>
      </c>
      <c r="L595" s="18" t="s">
        <v>716</v>
      </c>
      <c r="M595" s="19">
        <v>234500</v>
      </c>
      <c r="N595" s="19">
        <v>0</v>
      </c>
      <c r="O595" s="19">
        <f t="shared" si="45"/>
        <v>234500</v>
      </c>
      <c r="P595" s="17" t="s">
        <v>570</v>
      </c>
      <c r="R595" s="31"/>
    </row>
    <row r="596" spans="1:18" x14ac:dyDescent="0.3">
      <c r="A596" s="9" t="s">
        <v>1091</v>
      </c>
      <c r="B596" s="10" t="s">
        <v>2053</v>
      </c>
      <c r="C596" s="11" t="s">
        <v>1149</v>
      </c>
      <c r="D596" s="12">
        <v>44001</v>
      </c>
      <c r="E596" s="12">
        <v>44005</v>
      </c>
      <c r="F596" s="13">
        <v>44287000</v>
      </c>
      <c r="G596" s="14">
        <v>0</v>
      </c>
      <c r="H596" s="9" t="s">
        <v>1150</v>
      </c>
      <c r="I596" s="15">
        <v>1082127888</v>
      </c>
      <c r="J596" s="16" t="s">
        <v>1196</v>
      </c>
      <c r="K596" s="17">
        <v>1</v>
      </c>
      <c r="L596" s="18" t="s">
        <v>716</v>
      </c>
      <c r="M596" s="19">
        <v>234500</v>
      </c>
      <c r="N596" s="19">
        <v>0</v>
      </c>
      <c r="O596" s="19">
        <f t="shared" si="45"/>
        <v>234500</v>
      </c>
      <c r="P596" s="17" t="s">
        <v>570</v>
      </c>
      <c r="R596" s="31"/>
    </row>
    <row r="597" spans="1:18" x14ac:dyDescent="0.3">
      <c r="A597" s="9" t="s">
        <v>1091</v>
      </c>
      <c r="B597" s="10" t="s">
        <v>2053</v>
      </c>
      <c r="C597" s="11" t="s">
        <v>1149</v>
      </c>
      <c r="D597" s="12">
        <v>44001</v>
      </c>
      <c r="E597" s="12">
        <v>44005</v>
      </c>
      <c r="F597" s="13">
        <v>44287000</v>
      </c>
      <c r="G597" s="14">
        <v>0</v>
      </c>
      <c r="H597" s="9" t="s">
        <v>1150</v>
      </c>
      <c r="I597" s="15">
        <v>1082127888</v>
      </c>
      <c r="J597" s="16" t="s">
        <v>1197</v>
      </c>
      <c r="K597" s="17">
        <v>1</v>
      </c>
      <c r="L597" s="18" t="s">
        <v>716</v>
      </c>
      <c r="M597" s="19">
        <v>234500</v>
      </c>
      <c r="N597" s="19">
        <v>0</v>
      </c>
      <c r="O597" s="19">
        <f t="shared" si="45"/>
        <v>234500</v>
      </c>
      <c r="P597" s="17" t="s">
        <v>570</v>
      </c>
      <c r="R597" s="31"/>
    </row>
    <row r="598" spans="1:18" x14ac:dyDescent="0.3">
      <c r="A598" s="9" t="s">
        <v>1091</v>
      </c>
      <c r="B598" s="10" t="s">
        <v>2053</v>
      </c>
      <c r="C598" s="11" t="s">
        <v>1149</v>
      </c>
      <c r="D598" s="12">
        <v>44001</v>
      </c>
      <c r="E598" s="12">
        <v>44005</v>
      </c>
      <c r="F598" s="13">
        <v>44287000</v>
      </c>
      <c r="G598" s="14">
        <v>0</v>
      </c>
      <c r="H598" s="9" t="s">
        <v>1150</v>
      </c>
      <c r="I598" s="15">
        <v>1082127888</v>
      </c>
      <c r="J598" s="16" t="s">
        <v>1198</v>
      </c>
      <c r="K598" s="17">
        <v>1</v>
      </c>
      <c r="L598" s="18" t="s">
        <v>716</v>
      </c>
      <c r="M598" s="19">
        <v>234500</v>
      </c>
      <c r="N598" s="19">
        <v>0</v>
      </c>
      <c r="O598" s="19">
        <f t="shared" si="45"/>
        <v>234500</v>
      </c>
      <c r="P598" s="17" t="s">
        <v>570</v>
      </c>
      <c r="R598" s="31"/>
    </row>
    <row r="599" spans="1:18" x14ac:dyDescent="0.3">
      <c r="A599" s="9" t="s">
        <v>1091</v>
      </c>
      <c r="B599" s="10" t="s">
        <v>2053</v>
      </c>
      <c r="C599" s="11" t="s">
        <v>1149</v>
      </c>
      <c r="D599" s="12">
        <v>44001</v>
      </c>
      <c r="E599" s="12">
        <v>44005</v>
      </c>
      <c r="F599" s="13">
        <v>44287000</v>
      </c>
      <c r="G599" s="14">
        <v>0</v>
      </c>
      <c r="H599" s="9" t="s">
        <v>1150</v>
      </c>
      <c r="I599" s="15">
        <v>1082127888</v>
      </c>
      <c r="J599" s="16" t="s">
        <v>1199</v>
      </c>
      <c r="K599" s="17">
        <v>1</v>
      </c>
      <c r="L599" s="18" t="s">
        <v>716</v>
      </c>
      <c r="M599" s="19">
        <v>234500</v>
      </c>
      <c r="N599" s="19">
        <v>0</v>
      </c>
      <c r="O599" s="19">
        <f t="shared" si="45"/>
        <v>234500</v>
      </c>
      <c r="P599" s="17" t="s">
        <v>570</v>
      </c>
      <c r="R599" s="31"/>
    </row>
    <row r="600" spans="1:18" x14ac:dyDescent="0.3">
      <c r="A600" s="9" t="s">
        <v>1091</v>
      </c>
      <c r="B600" s="10" t="s">
        <v>2053</v>
      </c>
      <c r="C600" s="11" t="s">
        <v>1149</v>
      </c>
      <c r="D600" s="12">
        <v>44001</v>
      </c>
      <c r="E600" s="12">
        <v>44005</v>
      </c>
      <c r="F600" s="13">
        <v>44287000</v>
      </c>
      <c r="G600" s="14">
        <v>0</v>
      </c>
      <c r="H600" s="9" t="s">
        <v>1150</v>
      </c>
      <c r="I600" s="15">
        <v>1082127888</v>
      </c>
      <c r="J600" s="16" t="s">
        <v>1909</v>
      </c>
      <c r="K600" s="17">
        <v>2</v>
      </c>
      <c r="L600" s="18" t="s">
        <v>716</v>
      </c>
      <c r="M600" s="19">
        <v>234500</v>
      </c>
      <c r="N600" s="19">
        <v>0</v>
      </c>
      <c r="O600" s="19">
        <f t="shared" si="45"/>
        <v>469000</v>
      </c>
      <c r="P600" s="17" t="s">
        <v>570</v>
      </c>
      <c r="R600" s="31"/>
    </row>
    <row r="601" spans="1:18" x14ac:dyDescent="0.3">
      <c r="A601" s="9" t="s">
        <v>1091</v>
      </c>
      <c r="B601" s="10" t="s">
        <v>2053</v>
      </c>
      <c r="C601" s="11" t="s">
        <v>1149</v>
      </c>
      <c r="D601" s="12">
        <v>44001</v>
      </c>
      <c r="E601" s="12">
        <v>44005</v>
      </c>
      <c r="F601" s="13">
        <v>44287000</v>
      </c>
      <c r="G601" s="14">
        <v>0</v>
      </c>
      <c r="H601" s="9" t="s">
        <v>1150</v>
      </c>
      <c r="I601" s="15">
        <v>1082127888</v>
      </c>
      <c r="J601" s="16" t="s">
        <v>1200</v>
      </c>
      <c r="K601" s="17">
        <v>2</v>
      </c>
      <c r="L601" s="18" t="s">
        <v>716</v>
      </c>
      <c r="M601" s="19">
        <v>201000</v>
      </c>
      <c r="N601" s="19">
        <v>0</v>
      </c>
      <c r="O601" s="19">
        <f t="shared" si="45"/>
        <v>402000</v>
      </c>
      <c r="P601" s="17" t="s">
        <v>570</v>
      </c>
      <c r="R601" s="31"/>
    </row>
    <row r="602" spans="1:18" x14ac:dyDescent="0.3">
      <c r="A602" s="9" t="s">
        <v>1091</v>
      </c>
      <c r="B602" s="10" t="s">
        <v>2053</v>
      </c>
      <c r="C602" s="11" t="s">
        <v>1149</v>
      </c>
      <c r="D602" s="12">
        <v>44001</v>
      </c>
      <c r="E602" s="12">
        <v>44005</v>
      </c>
      <c r="F602" s="13">
        <v>44287000</v>
      </c>
      <c r="G602" s="14">
        <v>0</v>
      </c>
      <c r="H602" s="9" t="s">
        <v>1150</v>
      </c>
      <c r="I602" s="15">
        <v>1082127888</v>
      </c>
      <c r="J602" s="16" t="s">
        <v>1201</v>
      </c>
      <c r="K602" s="17">
        <v>1</v>
      </c>
      <c r="L602" s="18" t="s">
        <v>716</v>
      </c>
      <c r="M602" s="19">
        <v>234500</v>
      </c>
      <c r="N602" s="19">
        <v>0</v>
      </c>
      <c r="O602" s="19">
        <f t="shared" si="45"/>
        <v>234500</v>
      </c>
      <c r="P602" s="17" t="s">
        <v>570</v>
      </c>
      <c r="R602" s="31"/>
    </row>
    <row r="603" spans="1:18" x14ac:dyDescent="0.3">
      <c r="A603" s="9" t="s">
        <v>1091</v>
      </c>
      <c r="B603" s="10" t="s">
        <v>2053</v>
      </c>
      <c r="C603" s="11" t="s">
        <v>1149</v>
      </c>
      <c r="D603" s="12">
        <v>44001</v>
      </c>
      <c r="E603" s="12">
        <v>44005</v>
      </c>
      <c r="F603" s="13">
        <v>44287000</v>
      </c>
      <c r="G603" s="14">
        <v>0</v>
      </c>
      <c r="H603" s="9" t="s">
        <v>1150</v>
      </c>
      <c r="I603" s="15">
        <v>1082127888</v>
      </c>
      <c r="J603" s="16" t="s">
        <v>1202</v>
      </c>
      <c r="K603" s="17">
        <v>1</v>
      </c>
      <c r="L603" s="18" t="s">
        <v>716</v>
      </c>
      <c r="M603" s="19">
        <v>201000</v>
      </c>
      <c r="N603" s="19">
        <v>0</v>
      </c>
      <c r="O603" s="19">
        <f t="shared" si="45"/>
        <v>201000</v>
      </c>
      <c r="P603" s="17" t="s">
        <v>570</v>
      </c>
      <c r="R603" s="31"/>
    </row>
    <row r="604" spans="1:18" x14ac:dyDescent="0.3">
      <c r="A604" s="9" t="s">
        <v>1091</v>
      </c>
      <c r="B604" s="10" t="s">
        <v>2053</v>
      </c>
      <c r="C604" s="11" t="s">
        <v>1149</v>
      </c>
      <c r="D604" s="12">
        <v>44001</v>
      </c>
      <c r="E604" s="12">
        <v>44005</v>
      </c>
      <c r="F604" s="13">
        <v>44287000</v>
      </c>
      <c r="G604" s="14">
        <v>0</v>
      </c>
      <c r="H604" s="9" t="s">
        <v>1150</v>
      </c>
      <c r="I604" s="15">
        <v>1082127888</v>
      </c>
      <c r="J604" s="16" t="s">
        <v>1203</v>
      </c>
      <c r="K604" s="17">
        <v>1</v>
      </c>
      <c r="L604" s="18" t="s">
        <v>716</v>
      </c>
      <c r="M604" s="19">
        <v>201000</v>
      </c>
      <c r="N604" s="19">
        <v>0</v>
      </c>
      <c r="O604" s="19">
        <f t="shared" si="45"/>
        <v>201000</v>
      </c>
      <c r="P604" s="17" t="s">
        <v>570</v>
      </c>
      <c r="R604" s="31"/>
    </row>
    <row r="605" spans="1:18" x14ac:dyDescent="0.3">
      <c r="A605" s="9" t="s">
        <v>1091</v>
      </c>
      <c r="B605" s="10" t="s">
        <v>2053</v>
      </c>
      <c r="C605" s="11" t="s">
        <v>1149</v>
      </c>
      <c r="D605" s="12">
        <v>44001</v>
      </c>
      <c r="E605" s="12">
        <v>44005</v>
      </c>
      <c r="F605" s="13">
        <v>44287000</v>
      </c>
      <c r="G605" s="14">
        <v>0</v>
      </c>
      <c r="H605" s="9" t="s">
        <v>1150</v>
      </c>
      <c r="I605" s="15">
        <v>1082127888</v>
      </c>
      <c r="J605" s="16" t="s">
        <v>1204</v>
      </c>
      <c r="K605" s="17">
        <v>1</v>
      </c>
      <c r="L605" s="18" t="s">
        <v>716</v>
      </c>
      <c r="M605" s="19">
        <v>201000</v>
      </c>
      <c r="N605" s="19">
        <v>0</v>
      </c>
      <c r="O605" s="19">
        <f t="shared" si="45"/>
        <v>201000</v>
      </c>
      <c r="P605" s="17" t="s">
        <v>570</v>
      </c>
      <c r="R605" s="31"/>
    </row>
    <row r="606" spans="1:18" x14ac:dyDescent="0.3">
      <c r="A606" s="9" t="s">
        <v>1091</v>
      </c>
      <c r="B606" s="10" t="s">
        <v>2053</v>
      </c>
      <c r="C606" s="11" t="s">
        <v>1149</v>
      </c>
      <c r="D606" s="12">
        <v>44001</v>
      </c>
      <c r="E606" s="12">
        <v>44005</v>
      </c>
      <c r="F606" s="13">
        <v>44287000</v>
      </c>
      <c r="G606" s="14">
        <v>0</v>
      </c>
      <c r="H606" s="9" t="s">
        <v>1150</v>
      </c>
      <c r="I606" s="15">
        <v>1082127888</v>
      </c>
      <c r="J606" s="16" t="s">
        <v>1205</v>
      </c>
      <c r="K606" s="17">
        <v>2</v>
      </c>
      <c r="L606" s="18" t="s">
        <v>716</v>
      </c>
      <c r="M606" s="19">
        <v>234500</v>
      </c>
      <c r="N606" s="19">
        <v>0</v>
      </c>
      <c r="O606" s="19">
        <f t="shared" si="45"/>
        <v>469000</v>
      </c>
      <c r="P606" s="17" t="s">
        <v>570</v>
      </c>
      <c r="R606" s="31"/>
    </row>
    <row r="607" spans="1:18" x14ac:dyDescent="0.3">
      <c r="A607" s="9" t="s">
        <v>1091</v>
      </c>
      <c r="B607" s="10" t="s">
        <v>2053</v>
      </c>
      <c r="C607" s="11" t="s">
        <v>1149</v>
      </c>
      <c r="D607" s="12">
        <v>44001</v>
      </c>
      <c r="E607" s="12">
        <v>44005</v>
      </c>
      <c r="F607" s="13">
        <v>44287000</v>
      </c>
      <c r="G607" s="14">
        <v>0</v>
      </c>
      <c r="H607" s="9" t="s">
        <v>1150</v>
      </c>
      <c r="I607" s="15">
        <v>1082127888</v>
      </c>
      <c r="J607" s="16" t="s">
        <v>1206</v>
      </c>
      <c r="K607" s="17">
        <v>3</v>
      </c>
      <c r="L607" s="18" t="s">
        <v>716</v>
      </c>
      <c r="M607" s="19">
        <v>569500</v>
      </c>
      <c r="N607" s="19">
        <v>0</v>
      </c>
      <c r="O607" s="19">
        <f t="shared" si="45"/>
        <v>1708500</v>
      </c>
      <c r="P607" s="17" t="s">
        <v>570</v>
      </c>
      <c r="R607" s="31"/>
    </row>
    <row r="608" spans="1:18" x14ac:dyDescent="0.3">
      <c r="A608" s="9" t="s">
        <v>1091</v>
      </c>
      <c r="B608" s="10" t="s">
        <v>2053</v>
      </c>
      <c r="C608" s="11" t="s">
        <v>1149</v>
      </c>
      <c r="D608" s="12">
        <v>44001</v>
      </c>
      <c r="E608" s="12">
        <v>44005</v>
      </c>
      <c r="F608" s="13">
        <v>44287000</v>
      </c>
      <c r="G608" s="14">
        <v>0</v>
      </c>
      <c r="H608" s="9" t="s">
        <v>1150</v>
      </c>
      <c r="I608" s="15">
        <v>1082127888</v>
      </c>
      <c r="J608" s="16" t="s">
        <v>1207</v>
      </c>
      <c r="K608" s="17">
        <v>3</v>
      </c>
      <c r="L608" s="18" t="s">
        <v>716</v>
      </c>
      <c r="M608" s="19">
        <v>268000</v>
      </c>
      <c r="N608" s="19">
        <v>0</v>
      </c>
      <c r="O608" s="19">
        <f t="shared" si="45"/>
        <v>804000</v>
      </c>
      <c r="P608" s="17" t="s">
        <v>570</v>
      </c>
      <c r="R608" s="31"/>
    </row>
    <row r="609" spans="1:18" x14ac:dyDescent="0.3">
      <c r="A609" s="9" t="s">
        <v>1091</v>
      </c>
      <c r="B609" s="10" t="s">
        <v>2053</v>
      </c>
      <c r="C609" s="11" t="s">
        <v>1149</v>
      </c>
      <c r="D609" s="12">
        <v>44001</v>
      </c>
      <c r="E609" s="12">
        <v>44005</v>
      </c>
      <c r="F609" s="13">
        <v>44287000</v>
      </c>
      <c r="G609" s="14">
        <v>0</v>
      </c>
      <c r="H609" s="9" t="s">
        <v>1150</v>
      </c>
      <c r="I609" s="15">
        <v>1082127888</v>
      </c>
      <c r="J609" s="16" t="s">
        <v>1208</v>
      </c>
      <c r="K609" s="17">
        <v>1</v>
      </c>
      <c r="L609" s="18" t="s">
        <v>716</v>
      </c>
      <c r="M609" s="19">
        <v>938000</v>
      </c>
      <c r="N609" s="19">
        <v>0</v>
      </c>
      <c r="O609" s="19">
        <f t="shared" si="45"/>
        <v>938000</v>
      </c>
      <c r="P609" s="17" t="s">
        <v>570</v>
      </c>
      <c r="R609" s="31"/>
    </row>
    <row r="610" spans="1:18" x14ac:dyDescent="0.3">
      <c r="A610" s="9" t="s">
        <v>1091</v>
      </c>
      <c r="B610" s="10" t="s">
        <v>2053</v>
      </c>
      <c r="C610" s="11" t="s">
        <v>1149</v>
      </c>
      <c r="D610" s="12">
        <v>44001</v>
      </c>
      <c r="E610" s="12">
        <v>44005</v>
      </c>
      <c r="F610" s="13">
        <v>44287000</v>
      </c>
      <c r="G610" s="14">
        <v>0</v>
      </c>
      <c r="H610" s="9" t="s">
        <v>1150</v>
      </c>
      <c r="I610" s="15">
        <v>1082127888</v>
      </c>
      <c r="J610" s="16" t="s">
        <v>1209</v>
      </c>
      <c r="K610" s="17">
        <v>1</v>
      </c>
      <c r="L610" s="18" t="s">
        <v>716</v>
      </c>
      <c r="M610" s="19">
        <v>938000</v>
      </c>
      <c r="N610" s="19">
        <v>0</v>
      </c>
      <c r="O610" s="19">
        <f t="shared" si="45"/>
        <v>938000</v>
      </c>
      <c r="P610" s="17" t="s">
        <v>570</v>
      </c>
      <c r="R610" s="31"/>
    </row>
    <row r="611" spans="1:18" x14ac:dyDescent="0.3">
      <c r="A611" s="9" t="s">
        <v>1091</v>
      </c>
      <c r="B611" s="10" t="s">
        <v>2053</v>
      </c>
      <c r="C611" s="11" t="s">
        <v>1149</v>
      </c>
      <c r="D611" s="12">
        <v>44001</v>
      </c>
      <c r="E611" s="12">
        <v>44005</v>
      </c>
      <c r="F611" s="13">
        <v>44287000</v>
      </c>
      <c r="G611" s="14">
        <v>0</v>
      </c>
      <c r="H611" s="9" t="s">
        <v>1150</v>
      </c>
      <c r="I611" s="15">
        <v>1082127888</v>
      </c>
      <c r="J611" s="16" t="s">
        <v>1210</v>
      </c>
      <c r="K611" s="17">
        <v>1</v>
      </c>
      <c r="L611" s="18" t="s">
        <v>716</v>
      </c>
      <c r="M611" s="19">
        <v>938000</v>
      </c>
      <c r="N611" s="19">
        <v>0</v>
      </c>
      <c r="O611" s="19">
        <f t="shared" si="45"/>
        <v>938000</v>
      </c>
      <c r="P611" s="17" t="s">
        <v>570</v>
      </c>
      <c r="R611" s="31"/>
    </row>
    <row r="612" spans="1:18" x14ac:dyDescent="0.3">
      <c r="A612" s="9" t="s">
        <v>1091</v>
      </c>
      <c r="B612" s="10" t="s">
        <v>2053</v>
      </c>
      <c r="C612" s="11" t="s">
        <v>1149</v>
      </c>
      <c r="D612" s="12">
        <v>44001</v>
      </c>
      <c r="E612" s="12">
        <v>44005</v>
      </c>
      <c r="F612" s="13">
        <v>44287000</v>
      </c>
      <c r="G612" s="14">
        <v>0</v>
      </c>
      <c r="H612" s="9" t="s">
        <v>1150</v>
      </c>
      <c r="I612" s="15">
        <v>1082127888</v>
      </c>
      <c r="J612" s="16" t="s">
        <v>1211</v>
      </c>
      <c r="K612" s="17">
        <v>1</v>
      </c>
      <c r="L612" s="18" t="s">
        <v>716</v>
      </c>
      <c r="M612" s="19">
        <v>938000</v>
      </c>
      <c r="N612" s="19">
        <v>0</v>
      </c>
      <c r="O612" s="19">
        <f t="shared" si="45"/>
        <v>938000</v>
      </c>
      <c r="P612" s="17" t="s">
        <v>570</v>
      </c>
      <c r="R612" s="31"/>
    </row>
    <row r="613" spans="1:18" x14ac:dyDescent="0.3">
      <c r="A613" s="9" t="s">
        <v>1091</v>
      </c>
      <c r="B613" s="10" t="s">
        <v>2053</v>
      </c>
      <c r="C613" s="11" t="s">
        <v>1149</v>
      </c>
      <c r="D613" s="12">
        <v>44001</v>
      </c>
      <c r="E613" s="12">
        <v>44005</v>
      </c>
      <c r="F613" s="13">
        <v>44287000</v>
      </c>
      <c r="G613" s="14">
        <v>0</v>
      </c>
      <c r="H613" s="9" t="s">
        <v>1150</v>
      </c>
      <c r="I613" s="15">
        <v>1082127888</v>
      </c>
      <c r="J613" s="16" t="s">
        <v>1212</v>
      </c>
      <c r="K613" s="17">
        <v>1</v>
      </c>
      <c r="L613" s="18" t="s">
        <v>716</v>
      </c>
      <c r="M613" s="19">
        <v>938000</v>
      </c>
      <c r="N613" s="19">
        <v>0</v>
      </c>
      <c r="O613" s="19">
        <f t="shared" si="45"/>
        <v>938000</v>
      </c>
      <c r="P613" s="17" t="s">
        <v>570</v>
      </c>
      <c r="R613" s="31"/>
    </row>
    <row r="614" spans="1:18" x14ac:dyDescent="0.3">
      <c r="A614" s="9" t="s">
        <v>1091</v>
      </c>
      <c r="B614" s="10" t="s">
        <v>2053</v>
      </c>
      <c r="C614" s="11" t="s">
        <v>1149</v>
      </c>
      <c r="D614" s="12">
        <v>44001</v>
      </c>
      <c r="E614" s="12">
        <v>44005</v>
      </c>
      <c r="F614" s="13">
        <v>44287000</v>
      </c>
      <c r="G614" s="14">
        <v>0</v>
      </c>
      <c r="H614" s="9" t="s">
        <v>1150</v>
      </c>
      <c r="I614" s="15">
        <v>1082127888</v>
      </c>
      <c r="J614" s="16" t="s">
        <v>1213</v>
      </c>
      <c r="K614" s="17">
        <v>1</v>
      </c>
      <c r="L614" s="18" t="s">
        <v>716</v>
      </c>
      <c r="M614" s="19">
        <v>938000</v>
      </c>
      <c r="N614" s="19">
        <v>0</v>
      </c>
      <c r="O614" s="19">
        <f t="shared" si="45"/>
        <v>938000</v>
      </c>
      <c r="P614" s="17" t="s">
        <v>570</v>
      </c>
      <c r="R614" s="31"/>
    </row>
    <row r="615" spans="1:18" x14ac:dyDescent="0.3">
      <c r="A615" s="9" t="s">
        <v>1091</v>
      </c>
      <c r="B615" s="10" t="s">
        <v>2053</v>
      </c>
      <c r="C615" s="11" t="s">
        <v>1149</v>
      </c>
      <c r="D615" s="12">
        <v>44001</v>
      </c>
      <c r="E615" s="12">
        <v>44005</v>
      </c>
      <c r="F615" s="13">
        <v>44287000</v>
      </c>
      <c r="G615" s="14">
        <v>0</v>
      </c>
      <c r="H615" s="9" t="s">
        <v>1150</v>
      </c>
      <c r="I615" s="15">
        <v>1082127888</v>
      </c>
      <c r="J615" s="16" t="s">
        <v>1214</v>
      </c>
      <c r="K615" s="17">
        <v>1</v>
      </c>
      <c r="L615" s="18" t="s">
        <v>716</v>
      </c>
      <c r="M615" s="19">
        <v>301500</v>
      </c>
      <c r="N615" s="19">
        <v>0</v>
      </c>
      <c r="O615" s="19">
        <f t="shared" si="45"/>
        <v>301500</v>
      </c>
      <c r="P615" s="17" t="s">
        <v>570</v>
      </c>
      <c r="R615" s="31"/>
    </row>
    <row r="616" spans="1:18" x14ac:dyDescent="0.3">
      <c r="A616" s="9" t="s">
        <v>1091</v>
      </c>
      <c r="B616" s="10" t="s">
        <v>2053</v>
      </c>
      <c r="C616" s="11" t="s">
        <v>1149</v>
      </c>
      <c r="D616" s="12">
        <v>44001</v>
      </c>
      <c r="E616" s="12">
        <v>44005</v>
      </c>
      <c r="F616" s="13">
        <v>44287000</v>
      </c>
      <c r="G616" s="14">
        <v>0</v>
      </c>
      <c r="H616" s="9" t="s">
        <v>1150</v>
      </c>
      <c r="I616" s="15">
        <v>1082127888</v>
      </c>
      <c r="J616" s="16" t="s">
        <v>1215</v>
      </c>
      <c r="K616" s="17">
        <v>1</v>
      </c>
      <c r="L616" s="18" t="s">
        <v>716</v>
      </c>
      <c r="M616" s="19">
        <v>234500</v>
      </c>
      <c r="N616" s="19">
        <v>0</v>
      </c>
      <c r="O616" s="19">
        <f t="shared" si="45"/>
        <v>234500</v>
      </c>
      <c r="P616" s="17" t="s">
        <v>570</v>
      </c>
      <c r="R616" s="31"/>
    </row>
    <row r="617" spans="1:18" x14ac:dyDescent="0.3">
      <c r="A617" s="9" t="s">
        <v>1091</v>
      </c>
      <c r="B617" s="10" t="s">
        <v>2053</v>
      </c>
      <c r="C617" s="11" t="s">
        <v>1149</v>
      </c>
      <c r="D617" s="12">
        <v>44001</v>
      </c>
      <c r="E617" s="12">
        <v>44005</v>
      </c>
      <c r="F617" s="13">
        <v>44287000</v>
      </c>
      <c r="G617" s="14">
        <v>0</v>
      </c>
      <c r="H617" s="9" t="s">
        <v>1150</v>
      </c>
      <c r="I617" s="15">
        <v>1082127888</v>
      </c>
      <c r="J617" s="16" t="s">
        <v>1216</v>
      </c>
      <c r="K617" s="17">
        <v>1</v>
      </c>
      <c r="L617" s="18" t="s">
        <v>716</v>
      </c>
      <c r="M617" s="19">
        <v>201000</v>
      </c>
      <c r="N617" s="19">
        <v>0</v>
      </c>
      <c r="O617" s="19">
        <f t="shared" si="45"/>
        <v>201000</v>
      </c>
      <c r="P617" s="17" t="s">
        <v>570</v>
      </c>
      <c r="R617" s="31"/>
    </row>
    <row r="618" spans="1:18" x14ac:dyDescent="0.3">
      <c r="A618" s="9" t="s">
        <v>1091</v>
      </c>
      <c r="B618" s="10" t="s">
        <v>2053</v>
      </c>
      <c r="C618" s="11" t="s">
        <v>1149</v>
      </c>
      <c r="D618" s="12">
        <v>44001</v>
      </c>
      <c r="E618" s="12">
        <v>44005</v>
      </c>
      <c r="F618" s="13">
        <v>44287000</v>
      </c>
      <c r="G618" s="14">
        <v>0</v>
      </c>
      <c r="H618" s="9" t="s">
        <v>1150</v>
      </c>
      <c r="I618" s="15">
        <v>1082127888</v>
      </c>
      <c r="J618" s="16" t="s">
        <v>1217</v>
      </c>
      <c r="K618" s="17">
        <v>1</v>
      </c>
      <c r="L618" s="18" t="s">
        <v>716</v>
      </c>
      <c r="M618" s="19">
        <v>201000</v>
      </c>
      <c r="N618" s="19">
        <v>0</v>
      </c>
      <c r="O618" s="19">
        <f t="shared" si="45"/>
        <v>201000</v>
      </c>
      <c r="P618" s="17" t="s">
        <v>570</v>
      </c>
      <c r="R618" s="31"/>
    </row>
    <row r="619" spans="1:18" x14ac:dyDescent="0.3">
      <c r="A619" s="9" t="s">
        <v>1091</v>
      </c>
      <c r="B619" s="10" t="s">
        <v>2053</v>
      </c>
      <c r="C619" s="11" t="s">
        <v>1149</v>
      </c>
      <c r="D619" s="12">
        <v>44001</v>
      </c>
      <c r="E619" s="12">
        <v>44005</v>
      </c>
      <c r="F619" s="13">
        <v>44287000</v>
      </c>
      <c r="G619" s="14">
        <v>0</v>
      </c>
      <c r="H619" s="9" t="s">
        <v>1150</v>
      </c>
      <c r="I619" s="15">
        <v>1082127888</v>
      </c>
      <c r="J619" s="16" t="s">
        <v>1218</v>
      </c>
      <c r="K619" s="17">
        <v>1</v>
      </c>
      <c r="L619" s="18" t="s">
        <v>716</v>
      </c>
      <c r="M619" s="19">
        <v>201000</v>
      </c>
      <c r="N619" s="19">
        <v>0</v>
      </c>
      <c r="O619" s="19">
        <f t="shared" si="45"/>
        <v>201000</v>
      </c>
      <c r="P619" s="17" t="s">
        <v>570</v>
      </c>
      <c r="R619" s="31"/>
    </row>
    <row r="620" spans="1:18" x14ac:dyDescent="0.3">
      <c r="A620" s="9" t="s">
        <v>1091</v>
      </c>
      <c r="B620" s="10" t="s">
        <v>2053</v>
      </c>
      <c r="C620" s="11" t="s">
        <v>1149</v>
      </c>
      <c r="D620" s="12">
        <v>44001</v>
      </c>
      <c r="E620" s="12">
        <v>44005</v>
      </c>
      <c r="F620" s="13">
        <v>44287000</v>
      </c>
      <c r="G620" s="14">
        <v>0</v>
      </c>
      <c r="H620" s="9" t="s">
        <v>1150</v>
      </c>
      <c r="I620" s="15">
        <v>1082127888</v>
      </c>
      <c r="J620" s="16" t="s">
        <v>1219</v>
      </c>
      <c r="K620" s="17">
        <v>1</v>
      </c>
      <c r="L620" s="18" t="s">
        <v>716</v>
      </c>
      <c r="M620" s="19">
        <v>201000</v>
      </c>
      <c r="N620" s="19">
        <v>0</v>
      </c>
      <c r="O620" s="19">
        <f t="shared" si="45"/>
        <v>201000</v>
      </c>
      <c r="P620" s="17" t="s">
        <v>570</v>
      </c>
      <c r="R620" s="31"/>
    </row>
    <row r="621" spans="1:18" x14ac:dyDescent="0.3">
      <c r="A621" s="9" t="s">
        <v>1091</v>
      </c>
      <c r="B621" s="10" t="s">
        <v>2053</v>
      </c>
      <c r="C621" s="11" t="s">
        <v>1149</v>
      </c>
      <c r="D621" s="12">
        <v>44001</v>
      </c>
      <c r="E621" s="12">
        <v>44005</v>
      </c>
      <c r="F621" s="13">
        <v>44287000</v>
      </c>
      <c r="G621" s="14">
        <v>0</v>
      </c>
      <c r="H621" s="9" t="s">
        <v>1150</v>
      </c>
      <c r="I621" s="15">
        <v>1082127888</v>
      </c>
      <c r="J621" s="16" t="s">
        <v>1220</v>
      </c>
      <c r="K621" s="17">
        <v>1</v>
      </c>
      <c r="L621" s="18" t="s">
        <v>716</v>
      </c>
      <c r="M621" s="19">
        <v>201000</v>
      </c>
      <c r="N621" s="19">
        <v>0</v>
      </c>
      <c r="O621" s="19">
        <f t="shared" si="45"/>
        <v>201000</v>
      </c>
      <c r="P621" s="17" t="s">
        <v>570</v>
      </c>
      <c r="R621" s="31"/>
    </row>
    <row r="622" spans="1:18" x14ac:dyDescent="0.3">
      <c r="A622" s="9" t="s">
        <v>1091</v>
      </c>
      <c r="B622" s="10" t="s">
        <v>2053</v>
      </c>
      <c r="C622" s="11" t="s">
        <v>1149</v>
      </c>
      <c r="D622" s="12">
        <v>44001</v>
      </c>
      <c r="E622" s="12">
        <v>44005</v>
      </c>
      <c r="F622" s="13">
        <v>44287000</v>
      </c>
      <c r="G622" s="14">
        <v>0</v>
      </c>
      <c r="H622" s="9" t="s">
        <v>1150</v>
      </c>
      <c r="I622" s="15">
        <v>1082127888</v>
      </c>
      <c r="J622" s="16" t="s">
        <v>1221</v>
      </c>
      <c r="K622" s="17">
        <v>1</v>
      </c>
      <c r="L622" s="18" t="s">
        <v>716</v>
      </c>
      <c r="M622" s="19">
        <v>201000</v>
      </c>
      <c r="N622" s="19">
        <v>0</v>
      </c>
      <c r="O622" s="19">
        <f t="shared" si="45"/>
        <v>201000</v>
      </c>
      <c r="P622" s="17" t="s">
        <v>570</v>
      </c>
      <c r="R622" s="31"/>
    </row>
    <row r="623" spans="1:18" x14ac:dyDescent="0.3">
      <c r="A623" s="9" t="s">
        <v>1091</v>
      </c>
      <c r="B623" s="10" t="s">
        <v>2053</v>
      </c>
      <c r="C623" s="11" t="s">
        <v>1149</v>
      </c>
      <c r="D623" s="12">
        <v>44001</v>
      </c>
      <c r="E623" s="12">
        <v>44005</v>
      </c>
      <c r="F623" s="13">
        <v>44287000</v>
      </c>
      <c r="G623" s="14">
        <v>0</v>
      </c>
      <c r="H623" s="9" t="s">
        <v>1150</v>
      </c>
      <c r="I623" s="15">
        <v>1082127888</v>
      </c>
      <c r="J623" s="16" t="s">
        <v>1222</v>
      </c>
      <c r="K623" s="17">
        <v>1</v>
      </c>
      <c r="L623" s="18" t="s">
        <v>716</v>
      </c>
      <c r="M623" s="19">
        <v>201000</v>
      </c>
      <c r="N623" s="19">
        <v>0</v>
      </c>
      <c r="O623" s="19">
        <f t="shared" si="45"/>
        <v>201000</v>
      </c>
      <c r="P623" s="17" t="s">
        <v>570</v>
      </c>
      <c r="R623" s="31"/>
    </row>
    <row r="624" spans="1:18" x14ac:dyDescent="0.3">
      <c r="A624" s="9" t="s">
        <v>1091</v>
      </c>
      <c r="B624" s="10" t="s">
        <v>2053</v>
      </c>
      <c r="C624" s="11" t="s">
        <v>1149</v>
      </c>
      <c r="D624" s="12">
        <v>44001</v>
      </c>
      <c r="E624" s="12">
        <v>44005</v>
      </c>
      <c r="F624" s="13">
        <v>44287000</v>
      </c>
      <c r="G624" s="14">
        <v>0</v>
      </c>
      <c r="H624" s="9" t="s">
        <v>1150</v>
      </c>
      <c r="I624" s="15">
        <v>1082127888</v>
      </c>
      <c r="J624" s="16" t="s">
        <v>1223</v>
      </c>
      <c r="K624" s="17">
        <v>3</v>
      </c>
      <c r="L624" s="18" t="s">
        <v>716</v>
      </c>
      <c r="M624" s="19">
        <v>670000</v>
      </c>
      <c r="N624" s="19">
        <v>0</v>
      </c>
      <c r="O624" s="19">
        <f t="shared" si="45"/>
        <v>2010000</v>
      </c>
      <c r="P624" s="17" t="s">
        <v>570</v>
      </c>
      <c r="R624" s="31"/>
    </row>
    <row r="625" spans="1:18" x14ac:dyDescent="0.3">
      <c r="A625" s="9" t="s">
        <v>1091</v>
      </c>
      <c r="B625" s="10" t="s">
        <v>2053</v>
      </c>
      <c r="C625" s="11" t="s">
        <v>1149</v>
      </c>
      <c r="D625" s="12">
        <v>44001</v>
      </c>
      <c r="E625" s="12">
        <v>44005</v>
      </c>
      <c r="F625" s="13">
        <v>44287000</v>
      </c>
      <c r="G625" s="14">
        <v>0</v>
      </c>
      <c r="H625" s="9" t="s">
        <v>1150</v>
      </c>
      <c r="I625" s="15">
        <v>1082127888</v>
      </c>
      <c r="J625" s="16" t="s">
        <v>1224</v>
      </c>
      <c r="K625" s="17">
        <v>3</v>
      </c>
      <c r="L625" s="18" t="s">
        <v>716</v>
      </c>
      <c r="M625" s="19">
        <v>335000</v>
      </c>
      <c r="N625" s="19">
        <v>0</v>
      </c>
      <c r="O625" s="19">
        <f t="shared" si="45"/>
        <v>1005000</v>
      </c>
      <c r="P625" s="17" t="s">
        <v>570</v>
      </c>
      <c r="R625" s="31"/>
    </row>
    <row r="626" spans="1:18" x14ac:dyDescent="0.3">
      <c r="A626" s="9" t="s">
        <v>1091</v>
      </c>
      <c r="B626" s="10" t="s">
        <v>2053</v>
      </c>
      <c r="C626" s="11" t="s">
        <v>1149</v>
      </c>
      <c r="D626" s="12">
        <v>44001</v>
      </c>
      <c r="E626" s="12">
        <v>44005</v>
      </c>
      <c r="F626" s="13">
        <v>44287000</v>
      </c>
      <c r="G626" s="14">
        <v>0</v>
      </c>
      <c r="H626" s="9" t="s">
        <v>1150</v>
      </c>
      <c r="I626" s="15">
        <v>1082127888</v>
      </c>
      <c r="J626" s="16" t="s">
        <v>1225</v>
      </c>
      <c r="K626" s="17">
        <v>2</v>
      </c>
      <c r="L626" s="18" t="s">
        <v>716</v>
      </c>
      <c r="M626" s="19">
        <v>201000</v>
      </c>
      <c r="N626" s="19">
        <v>0</v>
      </c>
      <c r="O626" s="19">
        <f t="shared" si="45"/>
        <v>402000</v>
      </c>
      <c r="P626" s="17" t="s">
        <v>570</v>
      </c>
      <c r="R626" s="31"/>
    </row>
    <row r="627" spans="1:18" x14ac:dyDescent="0.3">
      <c r="A627" s="9" t="s">
        <v>1091</v>
      </c>
      <c r="B627" s="10" t="s">
        <v>2053</v>
      </c>
      <c r="C627" s="11" t="s">
        <v>1149</v>
      </c>
      <c r="D627" s="12">
        <v>44001</v>
      </c>
      <c r="E627" s="12">
        <v>44005</v>
      </c>
      <c r="F627" s="13">
        <v>44287000</v>
      </c>
      <c r="G627" s="14">
        <v>0</v>
      </c>
      <c r="H627" s="9" t="s">
        <v>1150</v>
      </c>
      <c r="I627" s="15">
        <v>1082127888</v>
      </c>
      <c r="J627" s="16" t="s">
        <v>1226</v>
      </c>
      <c r="K627" s="17">
        <v>1</v>
      </c>
      <c r="L627" s="18" t="s">
        <v>716</v>
      </c>
      <c r="M627" s="19">
        <v>402000</v>
      </c>
      <c r="N627" s="19">
        <v>0</v>
      </c>
      <c r="O627" s="19">
        <f t="shared" si="45"/>
        <v>402000</v>
      </c>
      <c r="P627" s="17" t="s">
        <v>570</v>
      </c>
      <c r="R627" s="31"/>
    </row>
    <row r="628" spans="1:18" x14ac:dyDescent="0.3">
      <c r="A628" s="9" t="s">
        <v>1091</v>
      </c>
      <c r="B628" s="10" t="s">
        <v>2053</v>
      </c>
      <c r="C628" s="11" t="s">
        <v>1149</v>
      </c>
      <c r="D628" s="12">
        <v>44001</v>
      </c>
      <c r="E628" s="12">
        <v>44005</v>
      </c>
      <c r="F628" s="13">
        <v>44287000</v>
      </c>
      <c r="G628" s="14">
        <v>0</v>
      </c>
      <c r="H628" s="9" t="s">
        <v>1150</v>
      </c>
      <c r="I628" s="15">
        <v>1082127888</v>
      </c>
      <c r="J628" s="16" t="s">
        <v>1227</v>
      </c>
      <c r="K628" s="17">
        <v>3</v>
      </c>
      <c r="L628" s="18" t="s">
        <v>716</v>
      </c>
      <c r="M628" s="19">
        <v>402000</v>
      </c>
      <c r="N628" s="19">
        <v>0</v>
      </c>
      <c r="O628" s="19">
        <f t="shared" si="45"/>
        <v>1206000</v>
      </c>
      <c r="P628" s="17" t="s">
        <v>570</v>
      </c>
      <c r="R628" s="31"/>
    </row>
    <row r="629" spans="1:18" x14ac:dyDescent="0.3">
      <c r="A629" s="9" t="s">
        <v>1091</v>
      </c>
      <c r="B629" s="10" t="s">
        <v>2053</v>
      </c>
      <c r="C629" s="11" t="s">
        <v>1149</v>
      </c>
      <c r="D629" s="12">
        <v>44001</v>
      </c>
      <c r="E629" s="12">
        <v>44005</v>
      </c>
      <c r="F629" s="13">
        <v>44287000</v>
      </c>
      <c r="G629" s="14">
        <v>0</v>
      </c>
      <c r="H629" s="9" t="s">
        <v>1150</v>
      </c>
      <c r="I629" s="15">
        <v>1082127888</v>
      </c>
      <c r="J629" s="16" t="s">
        <v>1228</v>
      </c>
      <c r="K629" s="17">
        <v>2</v>
      </c>
      <c r="L629" s="18" t="s">
        <v>716</v>
      </c>
      <c r="M629" s="19">
        <v>268000</v>
      </c>
      <c r="N629" s="19">
        <v>0</v>
      </c>
      <c r="O629" s="19">
        <f t="shared" si="45"/>
        <v>536000</v>
      </c>
      <c r="P629" s="17" t="s">
        <v>570</v>
      </c>
      <c r="R629" s="31"/>
    </row>
    <row r="630" spans="1:18" x14ac:dyDescent="0.3">
      <c r="A630" s="9" t="s">
        <v>1091</v>
      </c>
      <c r="B630" s="10" t="s">
        <v>2053</v>
      </c>
      <c r="C630" s="11" t="s">
        <v>1149</v>
      </c>
      <c r="D630" s="12">
        <v>44001</v>
      </c>
      <c r="E630" s="12">
        <v>44005</v>
      </c>
      <c r="F630" s="13">
        <v>44287000</v>
      </c>
      <c r="G630" s="14">
        <v>0</v>
      </c>
      <c r="H630" s="9" t="s">
        <v>1150</v>
      </c>
      <c r="I630" s="15">
        <v>1082127888</v>
      </c>
      <c r="J630" s="16" t="s">
        <v>1229</v>
      </c>
      <c r="K630" s="17">
        <v>3</v>
      </c>
      <c r="L630" s="18" t="s">
        <v>716</v>
      </c>
      <c r="M630" s="19">
        <v>268000</v>
      </c>
      <c r="N630" s="19">
        <v>0</v>
      </c>
      <c r="O630" s="19">
        <f t="shared" si="45"/>
        <v>804000</v>
      </c>
      <c r="P630" s="17" t="s">
        <v>570</v>
      </c>
      <c r="R630" s="31"/>
    </row>
    <row r="631" spans="1:18" x14ac:dyDescent="0.3">
      <c r="A631" s="9" t="s">
        <v>1091</v>
      </c>
      <c r="B631" s="10" t="s">
        <v>2053</v>
      </c>
      <c r="C631" s="11" t="s">
        <v>1149</v>
      </c>
      <c r="D631" s="12">
        <v>44001</v>
      </c>
      <c r="E631" s="12">
        <v>44005</v>
      </c>
      <c r="F631" s="13">
        <v>44287000</v>
      </c>
      <c r="G631" s="14">
        <v>0</v>
      </c>
      <c r="H631" s="9" t="s">
        <v>1150</v>
      </c>
      <c r="I631" s="15">
        <v>1082127888</v>
      </c>
      <c r="J631" s="16" t="s">
        <v>1230</v>
      </c>
      <c r="K631" s="17">
        <v>1</v>
      </c>
      <c r="L631" s="18" t="s">
        <v>716</v>
      </c>
      <c r="M631" s="19">
        <v>301500</v>
      </c>
      <c r="N631" s="19">
        <v>0</v>
      </c>
      <c r="O631" s="19">
        <f t="shared" si="45"/>
        <v>301500</v>
      </c>
      <c r="P631" s="17" t="s">
        <v>570</v>
      </c>
      <c r="R631" s="31"/>
    </row>
    <row r="632" spans="1:18" x14ac:dyDescent="0.3">
      <c r="A632" s="9" t="s">
        <v>1091</v>
      </c>
      <c r="B632" s="10" t="s">
        <v>2053</v>
      </c>
      <c r="C632" s="11" t="s">
        <v>1149</v>
      </c>
      <c r="D632" s="12">
        <v>44001</v>
      </c>
      <c r="E632" s="12">
        <v>44005</v>
      </c>
      <c r="F632" s="13">
        <v>44287000</v>
      </c>
      <c r="G632" s="14">
        <v>0</v>
      </c>
      <c r="H632" s="9" t="s">
        <v>1150</v>
      </c>
      <c r="I632" s="15">
        <v>1082127888</v>
      </c>
      <c r="J632" s="16" t="s">
        <v>1231</v>
      </c>
      <c r="K632" s="17">
        <v>1</v>
      </c>
      <c r="L632" s="18" t="s">
        <v>716</v>
      </c>
      <c r="M632" s="19">
        <v>301500</v>
      </c>
      <c r="N632" s="19">
        <v>0</v>
      </c>
      <c r="O632" s="19">
        <f t="shared" si="45"/>
        <v>301500</v>
      </c>
      <c r="P632" s="17" t="s">
        <v>570</v>
      </c>
      <c r="R632" s="31"/>
    </row>
    <row r="633" spans="1:18" x14ac:dyDescent="0.3">
      <c r="A633" s="9" t="s">
        <v>1091</v>
      </c>
      <c r="B633" s="10" t="s">
        <v>2053</v>
      </c>
      <c r="C633" s="11" t="s">
        <v>1149</v>
      </c>
      <c r="D633" s="12">
        <v>44001</v>
      </c>
      <c r="E633" s="12">
        <v>44005</v>
      </c>
      <c r="F633" s="13">
        <v>44287000</v>
      </c>
      <c r="G633" s="14">
        <v>0</v>
      </c>
      <c r="H633" s="9" t="s">
        <v>1150</v>
      </c>
      <c r="I633" s="15">
        <v>1082127888</v>
      </c>
      <c r="J633" s="16" t="s">
        <v>1910</v>
      </c>
      <c r="K633" s="17">
        <v>2</v>
      </c>
      <c r="L633" s="18" t="s">
        <v>716</v>
      </c>
      <c r="M633" s="19">
        <v>234500</v>
      </c>
      <c r="N633" s="19">
        <v>0</v>
      </c>
      <c r="O633" s="19">
        <f t="shared" si="45"/>
        <v>469000</v>
      </c>
      <c r="P633" s="17" t="s">
        <v>570</v>
      </c>
      <c r="R633" s="31"/>
    </row>
    <row r="634" spans="1:18" x14ac:dyDescent="0.3">
      <c r="A634" s="9" t="s">
        <v>1091</v>
      </c>
      <c r="B634" s="10" t="s">
        <v>2053</v>
      </c>
      <c r="C634" s="11" t="s">
        <v>1149</v>
      </c>
      <c r="D634" s="12">
        <v>44001</v>
      </c>
      <c r="E634" s="12">
        <v>44005</v>
      </c>
      <c r="F634" s="13">
        <v>44287000</v>
      </c>
      <c r="G634" s="14">
        <v>0</v>
      </c>
      <c r="H634" s="9" t="s">
        <v>1150</v>
      </c>
      <c r="I634" s="15">
        <v>1082127888</v>
      </c>
      <c r="J634" s="16" t="s">
        <v>1232</v>
      </c>
      <c r="K634" s="17">
        <v>1</v>
      </c>
      <c r="L634" s="18" t="s">
        <v>716</v>
      </c>
      <c r="M634" s="19">
        <v>167500</v>
      </c>
      <c r="N634" s="19">
        <v>0</v>
      </c>
      <c r="O634" s="19">
        <f t="shared" si="45"/>
        <v>167500</v>
      </c>
      <c r="P634" s="17" t="s">
        <v>570</v>
      </c>
      <c r="R634" s="31"/>
    </row>
    <row r="635" spans="1:18" x14ac:dyDescent="0.3">
      <c r="A635" s="9" t="s">
        <v>1091</v>
      </c>
      <c r="B635" s="10" t="s">
        <v>2053</v>
      </c>
      <c r="C635" s="11" t="s">
        <v>1149</v>
      </c>
      <c r="D635" s="12">
        <v>44001</v>
      </c>
      <c r="E635" s="12">
        <v>44005</v>
      </c>
      <c r="F635" s="13">
        <v>44287000</v>
      </c>
      <c r="G635" s="14">
        <v>0</v>
      </c>
      <c r="H635" s="9" t="s">
        <v>1150</v>
      </c>
      <c r="I635" s="15">
        <v>1082127888</v>
      </c>
      <c r="J635" s="16" t="s">
        <v>1233</v>
      </c>
      <c r="K635" s="17">
        <v>1</v>
      </c>
      <c r="L635" s="18" t="s">
        <v>716</v>
      </c>
      <c r="M635" s="19">
        <v>167500</v>
      </c>
      <c r="N635" s="19">
        <v>0</v>
      </c>
      <c r="O635" s="19">
        <f t="shared" si="45"/>
        <v>167500</v>
      </c>
      <c r="P635" s="17" t="s">
        <v>570</v>
      </c>
      <c r="R635" s="31"/>
    </row>
    <row r="636" spans="1:18" x14ac:dyDescent="0.3">
      <c r="A636" s="9" t="s">
        <v>1091</v>
      </c>
      <c r="B636" s="10" t="s">
        <v>2053</v>
      </c>
      <c r="C636" s="11" t="s">
        <v>1149</v>
      </c>
      <c r="D636" s="12">
        <v>44001</v>
      </c>
      <c r="E636" s="12">
        <v>44005</v>
      </c>
      <c r="F636" s="13">
        <v>44287000</v>
      </c>
      <c r="G636" s="14">
        <v>0</v>
      </c>
      <c r="H636" s="9" t="s">
        <v>1150</v>
      </c>
      <c r="I636" s="15">
        <v>1082127888</v>
      </c>
      <c r="J636" s="16" t="s">
        <v>1234</v>
      </c>
      <c r="K636" s="17">
        <v>1</v>
      </c>
      <c r="L636" s="18" t="s">
        <v>716</v>
      </c>
      <c r="M636" s="19">
        <v>167500</v>
      </c>
      <c r="N636" s="19">
        <v>0</v>
      </c>
      <c r="O636" s="19">
        <f t="shared" si="45"/>
        <v>167500</v>
      </c>
      <c r="P636" s="17" t="s">
        <v>570</v>
      </c>
      <c r="R636" s="31"/>
    </row>
    <row r="637" spans="1:18" x14ac:dyDescent="0.3">
      <c r="A637" s="9" t="s">
        <v>1091</v>
      </c>
      <c r="B637" s="10" t="s">
        <v>1235</v>
      </c>
      <c r="C637" s="11" t="s">
        <v>1236</v>
      </c>
      <c r="D637" s="12">
        <v>44005</v>
      </c>
      <c r="E637" s="12">
        <v>44005</v>
      </c>
      <c r="F637" s="13">
        <v>13923759</v>
      </c>
      <c r="G637" s="14">
        <v>0</v>
      </c>
      <c r="H637" s="9" t="s">
        <v>172</v>
      </c>
      <c r="I637" s="15">
        <v>900155107</v>
      </c>
      <c r="J637" s="16" t="s">
        <v>1237</v>
      </c>
      <c r="K637" s="17">
        <v>250</v>
      </c>
      <c r="L637" s="18" t="s">
        <v>21</v>
      </c>
      <c r="M637" s="19">
        <v>46802.551260504202</v>
      </c>
      <c r="N637" s="19">
        <f>M637*0.19</f>
        <v>8892.4847394957978</v>
      </c>
      <c r="O637" s="19">
        <f t="shared" si="45"/>
        <v>13923759</v>
      </c>
      <c r="P637" s="17" t="s">
        <v>98</v>
      </c>
      <c r="R637" s="31"/>
    </row>
    <row r="638" spans="1:18" x14ac:dyDescent="0.3">
      <c r="A638" s="9" t="s">
        <v>1091</v>
      </c>
      <c r="B638" s="10" t="s">
        <v>2054</v>
      </c>
      <c r="C638" s="11" t="s">
        <v>1238</v>
      </c>
      <c r="D638" s="12">
        <v>44008</v>
      </c>
      <c r="E638" s="12">
        <v>44013</v>
      </c>
      <c r="F638" s="13">
        <v>42500000</v>
      </c>
      <c r="G638" s="14">
        <v>0</v>
      </c>
      <c r="H638" s="9" t="s">
        <v>1239</v>
      </c>
      <c r="I638" s="15">
        <v>900589666</v>
      </c>
      <c r="J638" s="16" t="s">
        <v>1240</v>
      </c>
      <c r="K638" s="17">
        <v>2</v>
      </c>
      <c r="L638" s="18" t="s">
        <v>44</v>
      </c>
      <c r="M638" s="19">
        <v>2125000</v>
      </c>
      <c r="N638" s="19">
        <v>0</v>
      </c>
      <c r="O638" s="19">
        <f t="shared" si="45"/>
        <v>4250000</v>
      </c>
      <c r="P638" s="17" t="s">
        <v>45</v>
      </c>
      <c r="R638" s="31"/>
    </row>
    <row r="639" spans="1:18" x14ac:dyDescent="0.3">
      <c r="A639" s="9" t="s">
        <v>1091</v>
      </c>
      <c r="B639" s="10" t="s">
        <v>2054</v>
      </c>
      <c r="C639" s="11" t="s">
        <v>1238</v>
      </c>
      <c r="D639" s="12">
        <v>44008</v>
      </c>
      <c r="E639" s="12">
        <v>44013</v>
      </c>
      <c r="F639" s="13">
        <v>42500000</v>
      </c>
      <c r="G639" s="14">
        <v>0</v>
      </c>
      <c r="H639" s="9" t="s">
        <v>1239</v>
      </c>
      <c r="I639" s="15">
        <v>900589666</v>
      </c>
      <c r="J639" s="16" t="s">
        <v>1241</v>
      </c>
      <c r="K639" s="17">
        <v>2</v>
      </c>
      <c r="L639" s="18" t="s">
        <v>44</v>
      </c>
      <c r="M639" s="19">
        <v>2125000</v>
      </c>
      <c r="N639" s="19">
        <v>0</v>
      </c>
      <c r="O639" s="19">
        <f t="shared" si="45"/>
        <v>4250000</v>
      </c>
      <c r="P639" s="17" t="s">
        <v>45</v>
      </c>
      <c r="R639" s="31"/>
    </row>
    <row r="640" spans="1:18" x14ac:dyDescent="0.3">
      <c r="A640" s="9" t="s">
        <v>1091</v>
      </c>
      <c r="B640" s="10" t="s">
        <v>2054</v>
      </c>
      <c r="C640" s="11" t="s">
        <v>1238</v>
      </c>
      <c r="D640" s="12">
        <v>44008</v>
      </c>
      <c r="E640" s="12">
        <v>44013</v>
      </c>
      <c r="F640" s="13">
        <v>42500000</v>
      </c>
      <c r="G640" s="14">
        <v>0</v>
      </c>
      <c r="H640" s="9" t="s">
        <v>1239</v>
      </c>
      <c r="I640" s="15">
        <v>900589666</v>
      </c>
      <c r="J640" s="16" t="s">
        <v>1242</v>
      </c>
      <c r="K640" s="17">
        <v>2</v>
      </c>
      <c r="L640" s="18" t="s">
        <v>44</v>
      </c>
      <c r="M640" s="19">
        <v>2125000</v>
      </c>
      <c r="N640" s="19">
        <v>0</v>
      </c>
      <c r="O640" s="19">
        <f t="shared" si="45"/>
        <v>4250000</v>
      </c>
      <c r="P640" s="17" t="s">
        <v>45</v>
      </c>
      <c r="R640" s="31"/>
    </row>
    <row r="641" spans="1:18" x14ac:dyDescent="0.3">
      <c r="A641" s="9" t="s">
        <v>1091</v>
      </c>
      <c r="B641" s="10" t="s">
        <v>2054</v>
      </c>
      <c r="C641" s="11" t="s">
        <v>1238</v>
      </c>
      <c r="D641" s="12">
        <v>44008</v>
      </c>
      <c r="E641" s="12">
        <v>44013</v>
      </c>
      <c r="F641" s="13">
        <v>42500000</v>
      </c>
      <c r="G641" s="14">
        <v>0</v>
      </c>
      <c r="H641" s="9" t="s">
        <v>1239</v>
      </c>
      <c r="I641" s="15">
        <v>900589666</v>
      </c>
      <c r="J641" s="16" t="s">
        <v>1243</v>
      </c>
      <c r="K641" s="17">
        <v>2</v>
      </c>
      <c r="L641" s="18" t="s">
        <v>44</v>
      </c>
      <c r="M641" s="19">
        <v>2125000</v>
      </c>
      <c r="N641" s="19">
        <v>0</v>
      </c>
      <c r="O641" s="19">
        <f t="shared" si="45"/>
        <v>4250000</v>
      </c>
      <c r="P641" s="17" t="s">
        <v>45</v>
      </c>
      <c r="R641" s="31"/>
    </row>
    <row r="642" spans="1:18" x14ac:dyDescent="0.3">
      <c r="A642" s="9" t="s">
        <v>1091</v>
      </c>
      <c r="B642" s="10" t="s">
        <v>2054</v>
      </c>
      <c r="C642" s="11" t="s">
        <v>1238</v>
      </c>
      <c r="D642" s="12">
        <v>44008</v>
      </c>
      <c r="E642" s="12">
        <v>44013</v>
      </c>
      <c r="F642" s="13">
        <v>42500000</v>
      </c>
      <c r="G642" s="14">
        <v>0</v>
      </c>
      <c r="H642" s="9" t="s">
        <v>1239</v>
      </c>
      <c r="I642" s="15">
        <v>900589666</v>
      </c>
      <c r="J642" s="16" t="s">
        <v>1244</v>
      </c>
      <c r="K642" s="17">
        <v>2</v>
      </c>
      <c r="L642" s="18" t="s">
        <v>44</v>
      </c>
      <c r="M642" s="19">
        <v>2125000</v>
      </c>
      <c r="N642" s="19">
        <v>0</v>
      </c>
      <c r="O642" s="19">
        <f t="shared" si="45"/>
        <v>4250000</v>
      </c>
      <c r="P642" s="17" t="s">
        <v>45</v>
      </c>
      <c r="R642" s="31"/>
    </row>
    <row r="643" spans="1:18" x14ac:dyDescent="0.3">
      <c r="A643" s="9" t="s">
        <v>1091</v>
      </c>
      <c r="B643" s="10" t="s">
        <v>2054</v>
      </c>
      <c r="C643" s="11" t="s">
        <v>1238</v>
      </c>
      <c r="D643" s="12">
        <v>44008</v>
      </c>
      <c r="E643" s="12">
        <v>44013</v>
      </c>
      <c r="F643" s="13">
        <v>42500000</v>
      </c>
      <c r="G643" s="14">
        <v>0</v>
      </c>
      <c r="H643" s="9" t="s">
        <v>1239</v>
      </c>
      <c r="I643" s="15">
        <v>900589666</v>
      </c>
      <c r="J643" s="16" t="s">
        <v>1245</v>
      </c>
      <c r="K643" s="17">
        <v>2</v>
      </c>
      <c r="L643" s="18" t="s">
        <v>44</v>
      </c>
      <c r="M643" s="19">
        <v>2125000</v>
      </c>
      <c r="N643" s="19">
        <v>0</v>
      </c>
      <c r="O643" s="19">
        <f t="shared" si="45"/>
        <v>4250000</v>
      </c>
      <c r="P643" s="17" t="s">
        <v>45</v>
      </c>
      <c r="R643" s="31"/>
    </row>
    <row r="644" spans="1:18" x14ac:dyDescent="0.3">
      <c r="A644" s="9" t="s">
        <v>1091</v>
      </c>
      <c r="B644" s="10" t="s">
        <v>2054</v>
      </c>
      <c r="C644" s="11" t="s">
        <v>1238</v>
      </c>
      <c r="D644" s="12">
        <v>44008</v>
      </c>
      <c r="E644" s="12">
        <v>44013</v>
      </c>
      <c r="F644" s="13">
        <v>42500000</v>
      </c>
      <c r="G644" s="14">
        <v>0</v>
      </c>
      <c r="H644" s="9" t="s">
        <v>1239</v>
      </c>
      <c r="I644" s="15">
        <v>900589666</v>
      </c>
      <c r="J644" s="16" t="s">
        <v>1246</v>
      </c>
      <c r="K644" s="17">
        <v>2</v>
      </c>
      <c r="L644" s="18" t="s">
        <v>44</v>
      </c>
      <c r="M644" s="19">
        <v>2125000</v>
      </c>
      <c r="N644" s="19">
        <v>0</v>
      </c>
      <c r="O644" s="19">
        <f t="shared" si="45"/>
        <v>4250000</v>
      </c>
      <c r="P644" s="17" t="s">
        <v>45</v>
      </c>
      <c r="R644" s="31"/>
    </row>
    <row r="645" spans="1:18" x14ac:dyDescent="0.3">
      <c r="A645" s="9" t="s">
        <v>1091</v>
      </c>
      <c r="B645" s="10" t="s">
        <v>2054</v>
      </c>
      <c r="C645" s="11" t="s">
        <v>1238</v>
      </c>
      <c r="D645" s="12">
        <v>44008</v>
      </c>
      <c r="E645" s="12">
        <v>44013</v>
      </c>
      <c r="F645" s="13">
        <v>42500000</v>
      </c>
      <c r="G645" s="14">
        <v>0</v>
      </c>
      <c r="H645" s="9" t="s">
        <v>1239</v>
      </c>
      <c r="I645" s="15">
        <v>900589666</v>
      </c>
      <c r="J645" s="16" t="s">
        <v>1247</v>
      </c>
      <c r="K645" s="17">
        <v>2</v>
      </c>
      <c r="L645" s="18" t="s">
        <v>44</v>
      </c>
      <c r="M645" s="19">
        <v>2125000</v>
      </c>
      <c r="N645" s="19">
        <v>0</v>
      </c>
      <c r="O645" s="19">
        <f t="shared" si="45"/>
        <v>4250000</v>
      </c>
      <c r="P645" s="17" t="s">
        <v>45</v>
      </c>
      <c r="R645" s="31"/>
    </row>
    <row r="646" spans="1:18" x14ac:dyDescent="0.3">
      <c r="A646" s="9" t="s">
        <v>1091</v>
      </c>
      <c r="B646" s="10" t="s">
        <v>2054</v>
      </c>
      <c r="C646" s="11" t="s">
        <v>1238</v>
      </c>
      <c r="D646" s="12">
        <v>44008</v>
      </c>
      <c r="E646" s="12">
        <v>44013</v>
      </c>
      <c r="F646" s="13">
        <v>42500000</v>
      </c>
      <c r="G646" s="14">
        <v>0</v>
      </c>
      <c r="H646" s="9" t="s">
        <v>1239</v>
      </c>
      <c r="I646" s="15">
        <v>900589666</v>
      </c>
      <c r="J646" s="16" t="s">
        <v>1248</v>
      </c>
      <c r="K646" s="17">
        <v>2</v>
      </c>
      <c r="L646" s="18" t="s">
        <v>44</v>
      </c>
      <c r="M646" s="19">
        <v>2125000</v>
      </c>
      <c r="N646" s="19">
        <v>0</v>
      </c>
      <c r="O646" s="19">
        <f t="shared" si="45"/>
        <v>4250000</v>
      </c>
      <c r="P646" s="17" t="s">
        <v>45</v>
      </c>
      <c r="R646" s="31"/>
    </row>
    <row r="647" spans="1:18" x14ac:dyDescent="0.3">
      <c r="A647" s="9" t="s">
        <v>1091</v>
      </c>
      <c r="B647" s="10" t="s">
        <v>2054</v>
      </c>
      <c r="C647" s="11" t="s">
        <v>1238</v>
      </c>
      <c r="D647" s="12">
        <v>44008</v>
      </c>
      <c r="E647" s="12">
        <v>44013</v>
      </c>
      <c r="F647" s="13">
        <v>42500000</v>
      </c>
      <c r="G647" s="14">
        <v>0</v>
      </c>
      <c r="H647" s="9" t="s">
        <v>1239</v>
      </c>
      <c r="I647" s="15">
        <v>900589666</v>
      </c>
      <c r="J647" s="16" t="s">
        <v>1249</v>
      </c>
      <c r="K647" s="17">
        <v>2</v>
      </c>
      <c r="L647" s="18" t="s">
        <v>44</v>
      </c>
      <c r="M647" s="19">
        <v>2125000</v>
      </c>
      <c r="N647" s="19">
        <v>0</v>
      </c>
      <c r="O647" s="19">
        <f t="shared" si="45"/>
        <v>4250000</v>
      </c>
      <c r="P647" s="17" t="s">
        <v>45</v>
      </c>
      <c r="R647" s="31"/>
    </row>
    <row r="648" spans="1:18" x14ac:dyDescent="0.3">
      <c r="A648" s="9" t="s">
        <v>1091</v>
      </c>
      <c r="B648" s="10" t="s">
        <v>2055</v>
      </c>
      <c r="C648" s="11" t="s">
        <v>1250</v>
      </c>
      <c r="D648" s="12">
        <v>44088</v>
      </c>
      <c r="E648" s="12">
        <v>44099</v>
      </c>
      <c r="F648" s="13">
        <v>6620000</v>
      </c>
      <c r="G648" s="14">
        <v>0</v>
      </c>
      <c r="H648" s="9" t="s">
        <v>1251</v>
      </c>
      <c r="I648" s="15">
        <v>14319641</v>
      </c>
      <c r="J648" s="16" t="s">
        <v>1911</v>
      </c>
      <c r="K648" s="17">
        <v>50</v>
      </c>
      <c r="L648" s="18" t="s">
        <v>21</v>
      </c>
      <c r="M648" s="19">
        <v>18000</v>
      </c>
      <c r="N648" s="19">
        <v>0</v>
      </c>
      <c r="O648" s="19">
        <f t="shared" si="45"/>
        <v>900000</v>
      </c>
      <c r="P648" s="17" t="s">
        <v>257</v>
      </c>
      <c r="R648" s="31"/>
    </row>
    <row r="649" spans="1:18" x14ac:dyDescent="0.3">
      <c r="A649" s="9" t="s">
        <v>1091</v>
      </c>
      <c r="B649" s="10" t="s">
        <v>2055</v>
      </c>
      <c r="C649" s="11" t="s">
        <v>1250</v>
      </c>
      <c r="D649" s="12">
        <v>44088</v>
      </c>
      <c r="E649" s="12">
        <v>44099</v>
      </c>
      <c r="F649" s="13">
        <v>6620000</v>
      </c>
      <c r="G649" s="14">
        <v>0</v>
      </c>
      <c r="H649" s="9" t="s">
        <v>1251</v>
      </c>
      <c r="I649" s="15">
        <v>14319641</v>
      </c>
      <c r="J649" s="16" t="s">
        <v>1912</v>
      </c>
      <c r="K649" s="17">
        <v>50</v>
      </c>
      <c r="L649" s="18" t="s">
        <v>21</v>
      </c>
      <c r="M649" s="19">
        <v>18000</v>
      </c>
      <c r="N649" s="19">
        <v>0</v>
      </c>
      <c r="O649" s="19">
        <f t="shared" si="45"/>
        <v>900000</v>
      </c>
      <c r="P649" s="17" t="s">
        <v>257</v>
      </c>
      <c r="R649" s="31"/>
    </row>
    <row r="650" spans="1:18" x14ac:dyDescent="0.3">
      <c r="A650" s="9" t="s">
        <v>1091</v>
      </c>
      <c r="B650" s="10" t="s">
        <v>2055</v>
      </c>
      <c r="C650" s="11" t="s">
        <v>1250</v>
      </c>
      <c r="D650" s="12">
        <v>44088</v>
      </c>
      <c r="E650" s="12">
        <v>44099</v>
      </c>
      <c r="F650" s="13">
        <v>6620000</v>
      </c>
      <c r="G650" s="14">
        <v>0</v>
      </c>
      <c r="H650" s="9" t="s">
        <v>1251</v>
      </c>
      <c r="I650" s="15">
        <v>14319641</v>
      </c>
      <c r="J650" s="16" t="s">
        <v>1913</v>
      </c>
      <c r="K650" s="17">
        <v>20</v>
      </c>
      <c r="L650" s="18" t="s">
        <v>21</v>
      </c>
      <c r="M650" s="19">
        <v>25000</v>
      </c>
      <c r="N650" s="19">
        <v>0</v>
      </c>
      <c r="O650" s="19">
        <f t="shared" si="45"/>
        <v>500000</v>
      </c>
      <c r="P650" s="17" t="s">
        <v>257</v>
      </c>
      <c r="R650" s="31"/>
    </row>
    <row r="651" spans="1:18" x14ac:dyDescent="0.3">
      <c r="A651" s="9" t="s">
        <v>1091</v>
      </c>
      <c r="B651" s="10" t="s">
        <v>2055</v>
      </c>
      <c r="C651" s="11" t="s">
        <v>1250</v>
      </c>
      <c r="D651" s="12">
        <v>44088</v>
      </c>
      <c r="E651" s="12">
        <v>44099</v>
      </c>
      <c r="F651" s="13">
        <v>6620000</v>
      </c>
      <c r="G651" s="14">
        <v>0</v>
      </c>
      <c r="H651" s="9" t="s">
        <v>1251</v>
      </c>
      <c r="I651" s="15">
        <v>14319641</v>
      </c>
      <c r="J651" s="16" t="s">
        <v>1914</v>
      </c>
      <c r="K651" s="17">
        <v>50</v>
      </c>
      <c r="L651" s="18" t="s">
        <v>21</v>
      </c>
      <c r="M651" s="19">
        <v>18000</v>
      </c>
      <c r="N651" s="19">
        <v>0</v>
      </c>
      <c r="O651" s="19">
        <f t="shared" si="45"/>
        <v>900000</v>
      </c>
      <c r="P651" s="17" t="s">
        <v>257</v>
      </c>
      <c r="R651" s="31"/>
    </row>
    <row r="652" spans="1:18" x14ac:dyDescent="0.3">
      <c r="A652" s="9" t="s">
        <v>1091</v>
      </c>
      <c r="B652" s="10" t="s">
        <v>2055</v>
      </c>
      <c r="C652" s="11" t="s">
        <v>1250</v>
      </c>
      <c r="D652" s="12">
        <v>44088</v>
      </c>
      <c r="E652" s="12">
        <v>44099</v>
      </c>
      <c r="F652" s="13">
        <v>6620000</v>
      </c>
      <c r="G652" s="14">
        <v>0</v>
      </c>
      <c r="H652" s="9" t="s">
        <v>1251</v>
      </c>
      <c r="I652" s="15">
        <v>14319641</v>
      </c>
      <c r="J652" s="16" t="s">
        <v>1915</v>
      </c>
      <c r="K652" s="17">
        <v>50</v>
      </c>
      <c r="L652" s="18" t="s">
        <v>21</v>
      </c>
      <c r="M652" s="19">
        <v>18000</v>
      </c>
      <c r="N652" s="19">
        <v>0</v>
      </c>
      <c r="O652" s="19">
        <f t="shared" ref="O652:O782" si="46">K652*(M652+N652)</f>
        <v>900000</v>
      </c>
      <c r="P652" s="17" t="s">
        <v>257</v>
      </c>
      <c r="R652" s="31"/>
    </row>
    <row r="653" spans="1:18" x14ac:dyDescent="0.3">
      <c r="A653" s="9" t="s">
        <v>1091</v>
      </c>
      <c r="B653" s="10" t="s">
        <v>2055</v>
      </c>
      <c r="C653" s="11" t="s">
        <v>1250</v>
      </c>
      <c r="D653" s="12">
        <v>44088</v>
      </c>
      <c r="E653" s="12">
        <v>44099</v>
      </c>
      <c r="F653" s="13">
        <v>6620000</v>
      </c>
      <c r="G653" s="14">
        <v>0</v>
      </c>
      <c r="H653" s="9" t="s">
        <v>1251</v>
      </c>
      <c r="I653" s="15">
        <v>14319641</v>
      </c>
      <c r="J653" s="16" t="s">
        <v>1916</v>
      </c>
      <c r="K653" s="17">
        <v>10</v>
      </c>
      <c r="L653" s="18" t="s">
        <v>21</v>
      </c>
      <c r="M653" s="19">
        <v>12000</v>
      </c>
      <c r="N653" s="19">
        <v>0</v>
      </c>
      <c r="O653" s="19">
        <f t="shared" si="46"/>
        <v>120000</v>
      </c>
      <c r="P653" s="17" t="s">
        <v>257</v>
      </c>
      <c r="R653" s="31"/>
    </row>
    <row r="654" spans="1:18" x14ac:dyDescent="0.3">
      <c r="A654" s="9" t="s">
        <v>1091</v>
      </c>
      <c r="B654" s="10" t="s">
        <v>2055</v>
      </c>
      <c r="C654" s="11" t="s">
        <v>1250</v>
      </c>
      <c r="D654" s="12">
        <v>44088</v>
      </c>
      <c r="E654" s="12">
        <v>44099</v>
      </c>
      <c r="F654" s="13">
        <v>6620000</v>
      </c>
      <c r="G654" s="14">
        <v>0</v>
      </c>
      <c r="H654" s="9" t="s">
        <v>1251</v>
      </c>
      <c r="I654" s="15">
        <v>14319641</v>
      </c>
      <c r="J654" s="16" t="s">
        <v>1917</v>
      </c>
      <c r="K654" s="17">
        <v>300</v>
      </c>
      <c r="L654" s="18" t="s">
        <v>21</v>
      </c>
      <c r="M654" s="19">
        <v>8000</v>
      </c>
      <c r="N654" s="19">
        <v>0</v>
      </c>
      <c r="O654" s="19">
        <f t="shared" si="46"/>
        <v>2400000</v>
      </c>
      <c r="P654" s="17" t="s">
        <v>257</v>
      </c>
      <c r="R654" s="31"/>
    </row>
    <row r="655" spans="1:18" x14ac:dyDescent="0.3">
      <c r="A655" s="9" t="s">
        <v>1091</v>
      </c>
      <c r="B655" s="10" t="s">
        <v>2056</v>
      </c>
      <c r="C655" s="11" t="s">
        <v>1252</v>
      </c>
      <c r="D655" s="12">
        <v>44127</v>
      </c>
      <c r="E655" s="12">
        <v>44134</v>
      </c>
      <c r="F655" s="13">
        <v>56166581</v>
      </c>
      <c r="G655" s="14">
        <v>0</v>
      </c>
      <c r="H655" s="9" t="s">
        <v>1253</v>
      </c>
      <c r="I655" s="15">
        <v>900152830</v>
      </c>
      <c r="J655" s="16" t="s">
        <v>1254</v>
      </c>
      <c r="K655" s="17">
        <v>2.1666666999999999</v>
      </c>
      <c r="L655" s="18" t="s">
        <v>44</v>
      </c>
      <c r="M655" s="19">
        <v>9721138.6899999995</v>
      </c>
      <c r="N655" s="19">
        <v>0</v>
      </c>
      <c r="O655" s="19">
        <f t="shared" si="46"/>
        <v>21062467.485704623</v>
      </c>
      <c r="P655" s="17" t="s">
        <v>45</v>
      </c>
      <c r="R655" s="31"/>
    </row>
    <row r="656" spans="1:18" x14ac:dyDescent="0.3">
      <c r="A656" s="9" t="s">
        <v>1091</v>
      </c>
      <c r="B656" s="10" t="s">
        <v>2056</v>
      </c>
      <c r="C656" s="11" t="s">
        <v>1252</v>
      </c>
      <c r="D656" s="12">
        <v>44127</v>
      </c>
      <c r="E656" s="12">
        <v>44134</v>
      </c>
      <c r="F656" s="13">
        <v>56166581</v>
      </c>
      <c r="G656" s="14">
        <v>0</v>
      </c>
      <c r="H656" s="9" t="s">
        <v>1253</v>
      </c>
      <c r="I656" s="15">
        <v>900152830</v>
      </c>
      <c r="J656" s="16" t="s">
        <v>1240</v>
      </c>
      <c r="K656" s="17">
        <v>2.1666666999999999</v>
      </c>
      <c r="L656" s="18" t="s">
        <v>44</v>
      </c>
      <c r="M656" s="19">
        <v>1620189.83</v>
      </c>
      <c r="N656" s="19">
        <v>0</v>
      </c>
      <c r="O656" s="19">
        <f t="shared" si="46"/>
        <v>3510411.3523396612</v>
      </c>
      <c r="P656" s="17" t="s">
        <v>45</v>
      </c>
      <c r="R656" s="31"/>
    </row>
    <row r="657" spans="1:18" x14ac:dyDescent="0.3">
      <c r="A657" s="9" t="s">
        <v>1091</v>
      </c>
      <c r="B657" s="10" t="s">
        <v>2056</v>
      </c>
      <c r="C657" s="11" t="s">
        <v>1252</v>
      </c>
      <c r="D657" s="12">
        <v>44127</v>
      </c>
      <c r="E657" s="12">
        <v>44134</v>
      </c>
      <c r="F657" s="13">
        <v>56166581</v>
      </c>
      <c r="G657" s="14">
        <v>0</v>
      </c>
      <c r="H657" s="9" t="s">
        <v>1253</v>
      </c>
      <c r="I657" s="15">
        <v>900152830</v>
      </c>
      <c r="J657" s="16" t="s">
        <v>1241</v>
      </c>
      <c r="K657" s="17">
        <v>2.1666666999999999</v>
      </c>
      <c r="L657" s="18" t="s">
        <v>44</v>
      </c>
      <c r="M657" s="19">
        <v>1620189.83</v>
      </c>
      <c r="N657" s="19">
        <v>0</v>
      </c>
      <c r="O657" s="19">
        <f t="shared" si="46"/>
        <v>3510411.3523396612</v>
      </c>
      <c r="P657" s="17" t="s">
        <v>45</v>
      </c>
      <c r="R657" s="31"/>
    </row>
    <row r="658" spans="1:18" x14ac:dyDescent="0.3">
      <c r="A658" s="9" t="s">
        <v>1091</v>
      </c>
      <c r="B658" s="10" t="s">
        <v>2056</v>
      </c>
      <c r="C658" s="11" t="s">
        <v>1252</v>
      </c>
      <c r="D658" s="12">
        <v>44127</v>
      </c>
      <c r="E658" s="12">
        <v>44134</v>
      </c>
      <c r="F658" s="13">
        <v>56166581</v>
      </c>
      <c r="G658" s="14">
        <v>0</v>
      </c>
      <c r="H658" s="9" t="s">
        <v>1253</v>
      </c>
      <c r="I658" s="15">
        <v>900152830</v>
      </c>
      <c r="J658" s="16" t="s">
        <v>1242</v>
      </c>
      <c r="K658" s="17">
        <v>2.1666666999999999</v>
      </c>
      <c r="L658" s="18" t="s">
        <v>44</v>
      </c>
      <c r="M658" s="19">
        <v>1620189.83</v>
      </c>
      <c r="N658" s="19">
        <v>0</v>
      </c>
      <c r="O658" s="19">
        <f t="shared" si="46"/>
        <v>3510411.3523396612</v>
      </c>
      <c r="P658" s="17" t="s">
        <v>45</v>
      </c>
      <c r="R658" s="31"/>
    </row>
    <row r="659" spans="1:18" x14ac:dyDescent="0.3">
      <c r="A659" s="9" t="s">
        <v>1091</v>
      </c>
      <c r="B659" s="10" t="s">
        <v>2056</v>
      </c>
      <c r="C659" s="11" t="s">
        <v>1252</v>
      </c>
      <c r="D659" s="12">
        <v>44127</v>
      </c>
      <c r="E659" s="12">
        <v>44134</v>
      </c>
      <c r="F659" s="13">
        <v>56166581</v>
      </c>
      <c r="G659" s="14">
        <v>0</v>
      </c>
      <c r="H659" s="9" t="s">
        <v>1253</v>
      </c>
      <c r="I659" s="15">
        <v>900152830</v>
      </c>
      <c r="J659" s="16" t="s">
        <v>1243</v>
      </c>
      <c r="K659" s="17">
        <v>2.1666666999999999</v>
      </c>
      <c r="L659" s="18" t="s">
        <v>44</v>
      </c>
      <c r="M659" s="19">
        <v>1620189.83</v>
      </c>
      <c r="N659" s="19">
        <v>0</v>
      </c>
      <c r="O659" s="19">
        <f t="shared" si="46"/>
        <v>3510411.3523396612</v>
      </c>
      <c r="P659" s="17" t="s">
        <v>45</v>
      </c>
      <c r="R659" s="31"/>
    </row>
    <row r="660" spans="1:18" x14ac:dyDescent="0.3">
      <c r="A660" s="9" t="s">
        <v>1091</v>
      </c>
      <c r="B660" s="10" t="s">
        <v>2056</v>
      </c>
      <c r="C660" s="11" t="s">
        <v>1252</v>
      </c>
      <c r="D660" s="12">
        <v>44127</v>
      </c>
      <c r="E660" s="12">
        <v>44134</v>
      </c>
      <c r="F660" s="13">
        <v>56166581</v>
      </c>
      <c r="G660" s="14">
        <v>0</v>
      </c>
      <c r="H660" s="9" t="s">
        <v>1253</v>
      </c>
      <c r="I660" s="15">
        <v>900152830</v>
      </c>
      <c r="J660" s="16" t="s">
        <v>1244</v>
      </c>
      <c r="K660" s="17">
        <v>2.1666666999999999</v>
      </c>
      <c r="L660" s="18" t="s">
        <v>44</v>
      </c>
      <c r="M660" s="19">
        <v>1620189.83</v>
      </c>
      <c r="N660" s="19">
        <v>0</v>
      </c>
      <c r="O660" s="19">
        <f t="shared" si="46"/>
        <v>3510411.3523396612</v>
      </c>
      <c r="P660" s="17" t="s">
        <v>45</v>
      </c>
      <c r="R660" s="31"/>
    </row>
    <row r="661" spans="1:18" x14ac:dyDescent="0.3">
      <c r="A661" s="9" t="s">
        <v>1091</v>
      </c>
      <c r="B661" s="10" t="s">
        <v>2056</v>
      </c>
      <c r="C661" s="11" t="s">
        <v>1252</v>
      </c>
      <c r="D661" s="12">
        <v>44127</v>
      </c>
      <c r="E661" s="12">
        <v>44134</v>
      </c>
      <c r="F661" s="13">
        <v>56166581</v>
      </c>
      <c r="G661" s="14">
        <v>0</v>
      </c>
      <c r="H661" s="9" t="s">
        <v>1253</v>
      </c>
      <c r="I661" s="15">
        <v>900152830</v>
      </c>
      <c r="J661" s="16" t="s">
        <v>1245</v>
      </c>
      <c r="K661" s="17">
        <v>2.1666666999999999</v>
      </c>
      <c r="L661" s="18" t="s">
        <v>44</v>
      </c>
      <c r="M661" s="19">
        <v>1620189.83</v>
      </c>
      <c r="N661" s="19">
        <v>0</v>
      </c>
      <c r="O661" s="19">
        <f t="shared" si="46"/>
        <v>3510411.3523396612</v>
      </c>
      <c r="P661" s="17" t="s">
        <v>45</v>
      </c>
      <c r="R661" s="31"/>
    </row>
    <row r="662" spans="1:18" x14ac:dyDescent="0.3">
      <c r="A662" s="9" t="s">
        <v>1091</v>
      </c>
      <c r="B662" s="10" t="s">
        <v>2056</v>
      </c>
      <c r="C662" s="11" t="s">
        <v>1252</v>
      </c>
      <c r="D662" s="12">
        <v>44127</v>
      </c>
      <c r="E662" s="12">
        <v>44134</v>
      </c>
      <c r="F662" s="13">
        <v>56166581</v>
      </c>
      <c r="G662" s="14">
        <v>0</v>
      </c>
      <c r="H662" s="9" t="s">
        <v>1253</v>
      </c>
      <c r="I662" s="15">
        <v>900152830</v>
      </c>
      <c r="J662" s="16" t="s">
        <v>1246</v>
      </c>
      <c r="K662" s="17">
        <v>2.1666666999999999</v>
      </c>
      <c r="L662" s="18" t="s">
        <v>44</v>
      </c>
      <c r="M662" s="19">
        <v>1620189.83</v>
      </c>
      <c r="N662" s="19">
        <v>0</v>
      </c>
      <c r="O662" s="19">
        <f t="shared" si="46"/>
        <v>3510411.3523396612</v>
      </c>
      <c r="P662" s="17" t="s">
        <v>45</v>
      </c>
      <c r="R662" s="31"/>
    </row>
    <row r="663" spans="1:18" x14ac:dyDescent="0.3">
      <c r="A663" s="9" t="s">
        <v>1091</v>
      </c>
      <c r="B663" s="10" t="s">
        <v>2056</v>
      </c>
      <c r="C663" s="11" t="s">
        <v>1252</v>
      </c>
      <c r="D663" s="12">
        <v>44127</v>
      </c>
      <c r="E663" s="12">
        <v>44134</v>
      </c>
      <c r="F663" s="13">
        <v>56166581</v>
      </c>
      <c r="G663" s="14">
        <v>0</v>
      </c>
      <c r="H663" s="9" t="s">
        <v>1253</v>
      </c>
      <c r="I663" s="15">
        <v>900152830</v>
      </c>
      <c r="J663" s="16" t="s">
        <v>1247</v>
      </c>
      <c r="K663" s="17">
        <v>2.1666666999999999</v>
      </c>
      <c r="L663" s="18" t="s">
        <v>44</v>
      </c>
      <c r="M663" s="19">
        <v>1620189.83</v>
      </c>
      <c r="N663" s="19">
        <v>0</v>
      </c>
      <c r="O663" s="19">
        <f t="shared" si="46"/>
        <v>3510411.3523396612</v>
      </c>
      <c r="P663" s="17" t="s">
        <v>45</v>
      </c>
      <c r="R663" s="31"/>
    </row>
    <row r="664" spans="1:18" x14ac:dyDescent="0.3">
      <c r="A664" s="9" t="s">
        <v>1091</v>
      </c>
      <c r="B664" s="10" t="s">
        <v>2056</v>
      </c>
      <c r="C664" s="11" t="s">
        <v>1252</v>
      </c>
      <c r="D664" s="12">
        <v>44127</v>
      </c>
      <c r="E664" s="12">
        <v>44134</v>
      </c>
      <c r="F664" s="13">
        <v>56166581</v>
      </c>
      <c r="G664" s="14">
        <v>0</v>
      </c>
      <c r="H664" s="9" t="s">
        <v>1253</v>
      </c>
      <c r="I664" s="15">
        <v>900152830</v>
      </c>
      <c r="J664" s="16" t="s">
        <v>1248</v>
      </c>
      <c r="K664" s="17">
        <v>2.1666666999999999</v>
      </c>
      <c r="L664" s="18" t="s">
        <v>44</v>
      </c>
      <c r="M664" s="19">
        <v>1620189.83</v>
      </c>
      <c r="N664" s="19">
        <v>0</v>
      </c>
      <c r="O664" s="19">
        <f t="shared" si="46"/>
        <v>3510411.3523396612</v>
      </c>
      <c r="P664" s="17" t="s">
        <v>45</v>
      </c>
      <c r="R664" s="31"/>
    </row>
    <row r="665" spans="1:18" x14ac:dyDescent="0.3">
      <c r="A665" s="9" t="s">
        <v>1091</v>
      </c>
      <c r="B665" s="10" t="s">
        <v>2056</v>
      </c>
      <c r="C665" s="11" t="s">
        <v>1252</v>
      </c>
      <c r="D665" s="12">
        <v>44127</v>
      </c>
      <c r="E665" s="12">
        <v>44134</v>
      </c>
      <c r="F665" s="13">
        <v>56166581</v>
      </c>
      <c r="G665" s="14">
        <v>0</v>
      </c>
      <c r="H665" s="9" t="s">
        <v>1253</v>
      </c>
      <c r="I665" s="15">
        <v>900152830</v>
      </c>
      <c r="J665" s="16" t="s">
        <v>1249</v>
      </c>
      <c r="K665" s="17">
        <v>2.1666666999999999</v>
      </c>
      <c r="L665" s="18" t="s">
        <v>44</v>
      </c>
      <c r="M665" s="19">
        <v>1620189.83</v>
      </c>
      <c r="N665" s="19">
        <v>0</v>
      </c>
      <c r="O665" s="19">
        <f t="shared" si="46"/>
        <v>3510411.3523396612</v>
      </c>
      <c r="P665" s="17" t="s">
        <v>45</v>
      </c>
      <c r="R665" s="31"/>
    </row>
    <row r="666" spans="1:18" x14ac:dyDescent="0.3">
      <c r="A666" s="9" t="s">
        <v>1091</v>
      </c>
      <c r="B666" s="10" t="s">
        <v>1255</v>
      </c>
      <c r="C666" s="11" t="s">
        <v>1256</v>
      </c>
      <c r="D666" s="12">
        <v>44099</v>
      </c>
      <c r="E666" s="12">
        <v>44099</v>
      </c>
      <c r="F666" s="13">
        <v>19545729</v>
      </c>
      <c r="G666" s="14">
        <v>0</v>
      </c>
      <c r="H666" s="9" t="s">
        <v>1257</v>
      </c>
      <c r="I666" s="15">
        <v>900330957</v>
      </c>
      <c r="J666" s="16" t="s">
        <v>49</v>
      </c>
      <c r="K666" s="17">
        <v>136000</v>
      </c>
      <c r="L666" s="18" t="s">
        <v>21</v>
      </c>
      <c r="M666" s="19">
        <v>143.71860000000001</v>
      </c>
      <c r="N666" s="19">
        <v>0</v>
      </c>
      <c r="O666" s="19">
        <f t="shared" si="46"/>
        <v>19545729.600000001</v>
      </c>
      <c r="P666" s="17" t="s">
        <v>31</v>
      </c>
      <c r="R666" s="31"/>
    </row>
    <row r="667" spans="1:18" x14ac:dyDescent="0.3">
      <c r="A667" s="9" t="s">
        <v>1091</v>
      </c>
      <c r="B667" s="10" t="s">
        <v>1255</v>
      </c>
      <c r="C667" s="11" t="s">
        <v>1256</v>
      </c>
      <c r="D667" s="12">
        <v>44099</v>
      </c>
      <c r="E667" s="12">
        <v>44099</v>
      </c>
      <c r="F667" s="13"/>
      <c r="G667" s="14">
        <v>1437186</v>
      </c>
      <c r="H667" s="9" t="s">
        <v>1257</v>
      </c>
      <c r="I667" s="15">
        <v>900330957</v>
      </c>
      <c r="J667" s="16" t="s">
        <v>49</v>
      </c>
      <c r="K667" s="17">
        <v>10000</v>
      </c>
      <c r="L667" s="18" t="s">
        <v>21</v>
      </c>
      <c r="M667" s="19">
        <v>143.71860000000001</v>
      </c>
      <c r="N667" s="19">
        <v>0</v>
      </c>
      <c r="O667" s="19">
        <f t="shared" si="46"/>
        <v>1437186</v>
      </c>
      <c r="P667" s="17" t="s">
        <v>31</v>
      </c>
      <c r="R667" s="31"/>
    </row>
    <row r="668" spans="1:18" x14ac:dyDescent="0.3">
      <c r="A668" s="9" t="s">
        <v>1091</v>
      </c>
      <c r="B668" s="10" t="s">
        <v>1258</v>
      </c>
      <c r="C668" s="11" t="s">
        <v>1259</v>
      </c>
      <c r="D668" s="12">
        <v>44099</v>
      </c>
      <c r="E668" s="12">
        <v>44099</v>
      </c>
      <c r="F668" s="13">
        <v>11758794</v>
      </c>
      <c r="G668" s="14">
        <v>0</v>
      </c>
      <c r="H668" s="9" t="s">
        <v>952</v>
      </c>
      <c r="I668" s="15">
        <v>811032857</v>
      </c>
      <c r="J668" s="16" t="s">
        <v>69</v>
      </c>
      <c r="K668" s="17">
        <v>300</v>
      </c>
      <c r="L668" s="18" t="s">
        <v>70</v>
      </c>
      <c r="M668" s="19">
        <v>39195.980000000003</v>
      </c>
      <c r="N668" s="19">
        <v>0</v>
      </c>
      <c r="O668" s="19">
        <f t="shared" si="46"/>
        <v>11758794.000000002</v>
      </c>
      <c r="P668" s="17" t="s">
        <v>69</v>
      </c>
      <c r="R668" s="31"/>
    </row>
    <row r="669" spans="1:18" x14ac:dyDescent="0.3">
      <c r="A669" s="9" t="s">
        <v>1091</v>
      </c>
      <c r="B669" s="10" t="s">
        <v>1258</v>
      </c>
      <c r="C669" s="11" t="s">
        <v>1259</v>
      </c>
      <c r="D669" s="12">
        <v>44099</v>
      </c>
      <c r="E669" s="12">
        <v>44099</v>
      </c>
      <c r="F669" s="13"/>
      <c r="G669" s="14">
        <v>5628140</v>
      </c>
      <c r="H669" s="9" t="s">
        <v>952</v>
      </c>
      <c r="I669" s="15">
        <v>811032857</v>
      </c>
      <c r="J669" s="16" t="s">
        <v>69</v>
      </c>
      <c r="K669" s="17">
        <v>150</v>
      </c>
      <c r="L669" s="18" t="s">
        <v>70</v>
      </c>
      <c r="M669" s="19">
        <v>39195.980000000003</v>
      </c>
      <c r="N669" s="19">
        <v>0</v>
      </c>
      <c r="O669" s="19">
        <f t="shared" si="46"/>
        <v>5879397.0000000009</v>
      </c>
      <c r="P669" s="17" t="s">
        <v>69</v>
      </c>
      <c r="R669" s="31"/>
    </row>
    <row r="670" spans="1:18" x14ac:dyDescent="0.3">
      <c r="A670" s="9" t="s">
        <v>1091</v>
      </c>
      <c r="B670" s="10" t="s">
        <v>1260</v>
      </c>
      <c r="C670" s="11" t="s">
        <v>1256</v>
      </c>
      <c r="D670" s="12">
        <v>44099</v>
      </c>
      <c r="E670" s="12">
        <v>44099</v>
      </c>
      <c r="F670" s="13">
        <v>8802010.4600000009</v>
      </c>
      <c r="G670" s="14">
        <v>0</v>
      </c>
      <c r="H670" s="9" t="s">
        <v>1261</v>
      </c>
      <c r="I670" s="15">
        <v>900567130</v>
      </c>
      <c r="J670" s="16" t="s">
        <v>145</v>
      </c>
      <c r="K670" s="17">
        <v>302</v>
      </c>
      <c r="L670" s="18" t="s">
        <v>70</v>
      </c>
      <c r="M670" s="19">
        <v>29145.73</v>
      </c>
      <c r="N670" s="19">
        <v>0</v>
      </c>
      <c r="O670" s="19">
        <f t="shared" si="46"/>
        <v>8802010.459999999</v>
      </c>
      <c r="P670" s="17" t="s">
        <v>145</v>
      </c>
      <c r="R670" s="31"/>
    </row>
    <row r="671" spans="1:18" x14ac:dyDescent="0.3">
      <c r="A671" s="9" t="s">
        <v>1091</v>
      </c>
      <c r="B671" s="10" t="s">
        <v>1262</v>
      </c>
      <c r="C671" s="11" t="s">
        <v>1263</v>
      </c>
      <c r="D671" s="12">
        <v>44139</v>
      </c>
      <c r="E671" s="12">
        <v>44139</v>
      </c>
      <c r="F671" s="13">
        <v>4271356</v>
      </c>
      <c r="G671" s="14">
        <v>0</v>
      </c>
      <c r="H671" s="9" t="s">
        <v>1264</v>
      </c>
      <c r="I671" s="15">
        <v>900932726</v>
      </c>
      <c r="J671" s="16" t="s">
        <v>1265</v>
      </c>
      <c r="K671" s="17">
        <v>125</v>
      </c>
      <c r="L671" s="18" t="s">
        <v>21</v>
      </c>
      <c r="M671" s="19">
        <v>34170.85</v>
      </c>
      <c r="N671" s="19">
        <v>0</v>
      </c>
      <c r="O671" s="19">
        <f t="shared" si="46"/>
        <v>4271356.25</v>
      </c>
      <c r="P671" s="17" t="s">
        <v>185</v>
      </c>
      <c r="R671" s="31"/>
    </row>
    <row r="672" spans="1:18" x14ac:dyDescent="0.3">
      <c r="A672" s="9" t="s">
        <v>1091</v>
      </c>
      <c r="B672" s="10" t="s">
        <v>1266</v>
      </c>
      <c r="C672" s="11" t="s">
        <v>1267</v>
      </c>
      <c r="D672" s="12">
        <v>44166</v>
      </c>
      <c r="E672" s="12">
        <v>44166</v>
      </c>
      <c r="F672" s="13">
        <v>17491460</v>
      </c>
      <c r="G672" s="14">
        <v>0</v>
      </c>
      <c r="H672" s="9" t="s">
        <v>686</v>
      </c>
      <c r="I672" s="15">
        <v>900454322</v>
      </c>
      <c r="J672" s="16" t="s">
        <v>49</v>
      </c>
      <c r="K672" s="17">
        <v>1832</v>
      </c>
      <c r="L672" s="18" t="s">
        <v>21</v>
      </c>
      <c r="M672" s="19">
        <v>9547.74</v>
      </c>
      <c r="N672" s="19">
        <v>0</v>
      </c>
      <c r="O672" s="19">
        <f t="shared" si="46"/>
        <v>17491459.68</v>
      </c>
      <c r="P672" s="17" t="s">
        <v>31</v>
      </c>
      <c r="R672" s="31"/>
    </row>
    <row r="673" spans="1:18" x14ac:dyDescent="0.3">
      <c r="A673" s="9" t="s">
        <v>1091</v>
      </c>
      <c r="B673" s="10" t="s">
        <v>1268</v>
      </c>
      <c r="C673" s="11" t="s">
        <v>1269</v>
      </c>
      <c r="D673" s="12">
        <v>44169</v>
      </c>
      <c r="E673" s="12">
        <v>44169</v>
      </c>
      <c r="F673" s="13">
        <v>23063405</v>
      </c>
      <c r="G673" s="14">
        <v>0</v>
      </c>
      <c r="H673" s="9" t="s">
        <v>60</v>
      </c>
      <c r="I673" s="15">
        <v>830001338</v>
      </c>
      <c r="J673" s="16" t="s">
        <v>1270</v>
      </c>
      <c r="K673" s="46">
        <f>1660*3.75</f>
        <v>6225</v>
      </c>
      <c r="L673" s="18" t="s">
        <v>36</v>
      </c>
      <c r="M673" s="19">
        <f>5777.89/3.75</f>
        <v>1540.7706666666668</v>
      </c>
      <c r="N673" s="19">
        <v>0</v>
      </c>
      <c r="O673" s="19">
        <f t="shared" si="46"/>
        <v>9591297.4000000004</v>
      </c>
      <c r="P673" s="17" t="s">
        <v>39</v>
      </c>
      <c r="R673" s="31"/>
    </row>
    <row r="674" spans="1:18" x14ac:dyDescent="0.3">
      <c r="A674" s="9" t="s">
        <v>1091</v>
      </c>
      <c r="B674" s="10" t="s">
        <v>1268</v>
      </c>
      <c r="C674" s="11" t="s">
        <v>1269</v>
      </c>
      <c r="D674" s="12">
        <v>44169</v>
      </c>
      <c r="E674" s="12">
        <v>44169</v>
      </c>
      <c r="F674" s="13">
        <v>23063405</v>
      </c>
      <c r="G674" s="14">
        <v>0</v>
      </c>
      <c r="H674" s="9" t="s">
        <v>60</v>
      </c>
      <c r="I674" s="15">
        <v>830001338</v>
      </c>
      <c r="J674" s="16" t="s">
        <v>1271</v>
      </c>
      <c r="K674" s="17">
        <f>800*3.75</f>
        <v>3000</v>
      </c>
      <c r="L674" s="18" t="s">
        <v>36</v>
      </c>
      <c r="M674" s="19">
        <f>12120.6/3.75</f>
        <v>3232.1600000000003</v>
      </c>
      <c r="N674" s="19">
        <v>0</v>
      </c>
      <c r="O674" s="19">
        <f t="shared" si="46"/>
        <v>9696480</v>
      </c>
      <c r="P674" s="17" t="s">
        <v>37</v>
      </c>
      <c r="R674" s="31"/>
    </row>
    <row r="675" spans="1:18" x14ac:dyDescent="0.3">
      <c r="A675" s="9" t="s">
        <v>1091</v>
      </c>
      <c r="B675" s="10" t="s">
        <v>1268</v>
      </c>
      <c r="C675" s="11" t="s">
        <v>1269</v>
      </c>
      <c r="D675" s="12">
        <v>44169</v>
      </c>
      <c r="E675" s="12">
        <v>44169</v>
      </c>
      <c r="F675" s="13">
        <v>23063405</v>
      </c>
      <c r="G675" s="14">
        <v>0</v>
      </c>
      <c r="H675" s="9" t="s">
        <v>60</v>
      </c>
      <c r="I675" s="15">
        <v>830001338</v>
      </c>
      <c r="J675" s="16" t="s">
        <v>1272</v>
      </c>
      <c r="K675" s="17">
        <v>650</v>
      </c>
      <c r="L675" s="18" t="s">
        <v>36</v>
      </c>
      <c r="M675" s="19">
        <v>4169.8500000000004</v>
      </c>
      <c r="N675" s="19">
        <v>0</v>
      </c>
      <c r="O675" s="19">
        <f t="shared" si="46"/>
        <v>2710402.5000000005</v>
      </c>
      <c r="P675" s="17" t="s">
        <v>37</v>
      </c>
      <c r="R675" s="31"/>
    </row>
    <row r="676" spans="1:18" x14ac:dyDescent="0.3">
      <c r="A676" s="9" t="s">
        <v>1091</v>
      </c>
      <c r="B676" s="10" t="s">
        <v>1268</v>
      </c>
      <c r="C676" s="11" t="s">
        <v>1269</v>
      </c>
      <c r="D676" s="12">
        <v>44169</v>
      </c>
      <c r="E676" s="12">
        <v>44169</v>
      </c>
      <c r="F676" s="13">
        <v>23063405</v>
      </c>
      <c r="G676" s="14">
        <v>0</v>
      </c>
      <c r="H676" s="9" t="s">
        <v>60</v>
      </c>
      <c r="I676" s="15">
        <v>830001338</v>
      </c>
      <c r="J676" s="16" t="s">
        <v>1273</v>
      </c>
      <c r="K676" s="17">
        <v>300</v>
      </c>
      <c r="L676" s="18" t="s">
        <v>36</v>
      </c>
      <c r="M676" s="19">
        <v>3550.75</v>
      </c>
      <c r="N676" s="19">
        <v>0</v>
      </c>
      <c r="O676" s="19">
        <f t="shared" si="46"/>
        <v>1065225</v>
      </c>
      <c r="P676" s="17" t="s">
        <v>161</v>
      </c>
      <c r="R676" s="31"/>
    </row>
    <row r="677" spans="1:18" x14ac:dyDescent="0.3">
      <c r="A677" s="9" t="s">
        <v>1091</v>
      </c>
      <c r="B677" s="10" t="s">
        <v>1274</v>
      </c>
      <c r="C677" s="11" t="s">
        <v>1275</v>
      </c>
      <c r="D677" s="12">
        <v>44169</v>
      </c>
      <c r="E677" s="12">
        <v>44169</v>
      </c>
      <c r="F677" s="13">
        <v>6075114</v>
      </c>
      <c r="G677" s="14">
        <v>0</v>
      </c>
      <c r="H677" s="9" t="s">
        <v>271</v>
      </c>
      <c r="I677" s="15">
        <v>19254921</v>
      </c>
      <c r="J677" s="16" t="s">
        <v>1276</v>
      </c>
      <c r="K677" s="46">
        <v>150</v>
      </c>
      <c r="L677" s="18" t="s">
        <v>36</v>
      </c>
      <c r="M677" s="19">
        <f>1994.97*2</f>
        <v>3989.94</v>
      </c>
      <c r="N677" s="19">
        <v>0</v>
      </c>
      <c r="O677" s="19">
        <f t="shared" si="46"/>
        <v>598491</v>
      </c>
      <c r="P677" s="17" t="s">
        <v>39</v>
      </c>
      <c r="R677" s="31"/>
    </row>
    <row r="678" spans="1:18" x14ac:dyDescent="0.3">
      <c r="A678" s="9" t="s">
        <v>1091</v>
      </c>
      <c r="B678" s="10" t="s">
        <v>1274</v>
      </c>
      <c r="C678" s="11" t="s">
        <v>1275</v>
      </c>
      <c r="D678" s="12">
        <v>44169</v>
      </c>
      <c r="E678" s="12">
        <v>44169</v>
      </c>
      <c r="F678" s="13">
        <v>6075114</v>
      </c>
      <c r="G678" s="14">
        <v>0</v>
      </c>
      <c r="H678" s="9" t="s">
        <v>271</v>
      </c>
      <c r="I678" s="15">
        <v>19254921</v>
      </c>
      <c r="J678" s="16" t="s">
        <v>1277</v>
      </c>
      <c r="K678" s="17">
        <v>1800</v>
      </c>
      <c r="L678" s="29" t="s">
        <v>2135</v>
      </c>
      <c r="M678" s="19">
        <v>2556.7800000000002</v>
      </c>
      <c r="N678" s="19">
        <f>M678*0.19</f>
        <v>485.78820000000002</v>
      </c>
      <c r="O678" s="19">
        <f t="shared" si="46"/>
        <v>5476622.7600000007</v>
      </c>
      <c r="P678" s="21" t="s">
        <v>656</v>
      </c>
      <c r="R678" s="31"/>
    </row>
    <row r="679" spans="1:18" x14ac:dyDescent="0.3">
      <c r="A679" s="9" t="s">
        <v>1091</v>
      </c>
      <c r="B679" s="10" t="s">
        <v>1278</v>
      </c>
      <c r="C679" s="11" t="s">
        <v>1269</v>
      </c>
      <c r="D679" s="12">
        <v>44169</v>
      </c>
      <c r="E679" s="12">
        <v>44169</v>
      </c>
      <c r="F679" s="13">
        <v>7778892</v>
      </c>
      <c r="G679" s="14">
        <v>0</v>
      </c>
      <c r="H679" s="9" t="s">
        <v>689</v>
      </c>
      <c r="I679" s="15">
        <v>52223268</v>
      </c>
      <c r="J679" s="16" t="s">
        <v>1279</v>
      </c>
      <c r="K679" s="17">
        <f>600*3.75</f>
        <v>2250</v>
      </c>
      <c r="L679" s="18" t="s">
        <v>36</v>
      </c>
      <c r="M679" s="19">
        <f>12964.82/3.75</f>
        <v>3457.2853333333333</v>
      </c>
      <c r="N679" s="19">
        <v>0</v>
      </c>
      <c r="O679" s="19">
        <f t="shared" si="46"/>
        <v>7778892</v>
      </c>
      <c r="P679" s="17" t="s">
        <v>161</v>
      </c>
      <c r="R679" s="31"/>
    </row>
    <row r="680" spans="1:18" x14ac:dyDescent="0.3">
      <c r="A680" s="9" t="s">
        <v>1091</v>
      </c>
      <c r="B680" s="10" t="s">
        <v>1280</v>
      </c>
      <c r="C680" s="11" t="s">
        <v>1269</v>
      </c>
      <c r="D680" s="12">
        <v>44169</v>
      </c>
      <c r="E680" s="12">
        <v>44169</v>
      </c>
      <c r="F680" s="13">
        <v>17628481</v>
      </c>
      <c r="G680" s="14">
        <v>0</v>
      </c>
      <c r="H680" s="9" t="s">
        <v>356</v>
      </c>
      <c r="I680" s="15">
        <v>900300970</v>
      </c>
      <c r="J680" s="16" t="s">
        <v>1281</v>
      </c>
      <c r="K680" s="17">
        <v>220</v>
      </c>
      <c r="L680" s="18" t="s">
        <v>21</v>
      </c>
      <c r="M680" s="19">
        <v>67335.679999999993</v>
      </c>
      <c r="N680" s="19">
        <f>M680*0.19</f>
        <v>12793.779199999999</v>
      </c>
      <c r="O680" s="19">
        <f t="shared" si="46"/>
        <v>17628481.024</v>
      </c>
      <c r="P680" s="17" t="s">
        <v>82</v>
      </c>
      <c r="R680" s="31"/>
    </row>
    <row r="681" spans="1:18" x14ac:dyDescent="0.3">
      <c r="A681" s="9" t="s">
        <v>1091</v>
      </c>
      <c r="B681" s="10" t="s">
        <v>1282</v>
      </c>
      <c r="C681" s="11" t="s">
        <v>1256</v>
      </c>
      <c r="D681" s="12">
        <v>44174</v>
      </c>
      <c r="E681" s="12">
        <v>44174</v>
      </c>
      <c r="F681" s="13">
        <v>5326633</v>
      </c>
      <c r="G681" s="14">
        <v>0</v>
      </c>
      <c r="H681" s="9" t="s">
        <v>401</v>
      </c>
      <c r="I681" s="15">
        <v>901211678</v>
      </c>
      <c r="J681" s="16" t="s">
        <v>69</v>
      </c>
      <c r="K681" s="17">
        <v>100</v>
      </c>
      <c r="L681" s="18" t="s">
        <v>70</v>
      </c>
      <c r="M681" s="19">
        <v>53266.33</v>
      </c>
      <c r="N681" s="19">
        <v>0</v>
      </c>
      <c r="O681" s="19">
        <f t="shared" si="46"/>
        <v>5326633</v>
      </c>
      <c r="P681" s="17" t="s">
        <v>69</v>
      </c>
      <c r="R681" s="31"/>
    </row>
    <row r="682" spans="1:18" x14ac:dyDescent="0.3">
      <c r="A682" s="9" t="s">
        <v>1091</v>
      </c>
      <c r="B682" s="10" t="s">
        <v>1282</v>
      </c>
      <c r="C682" s="11" t="s">
        <v>1256</v>
      </c>
      <c r="D682" s="12">
        <v>44174</v>
      </c>
      <c r="E682" s="12">
        <v>44174</v>
      </c>
      <c r="F682" s="13"/>
      <c r="G682" s="14">
        <v>2610050.17</v>
      </c>
      <c r="H682" s="9" t="s">
        <v>401</v>
      </c>
      <c r="I682" s="15">
        <v>901211678</v>
      </c>
      <c r="J682" s="16" t="s">
        <v>69</v>
      </c>
      <c r="K682" s="17">
        <v>49</v>
      </c>
      <c r="L682" s="18" t="s">
        <v>70</v>
      </c>
      <c r="M682" s="19">
        <v>53266.33</v>
      </c>
      <c r="N682" s="19">
        <v>0</v>
      </c>
      <c r="O682" s="19">
        <f t="shared" si="46"/>
        <v>2610050.17</v>
      </c>
      <c r="P682" s="17" t="s">
        <v>69</v>
      </c>
      <c r="R682" s="31"/>
    </row>
    <row r="683" spans="1:18" x14ac:dyDescent="0.3">
      <c r="A683" s="9" t="s">
        <v>1091</v>
      </c>
      <c r="B683" s="10" t="s">
        <v>1283</v>
      </c>
      <c r="C683" s="11" t="s">
        <v>1256</v>
      </c>
      <c r="D683" s="12">
        <v>44174</v>
      </c>
      <c r="E683" s="12">
        <v>44174</v>
      </c>
      <c r="F683" s="13">
        <v>15015075</v>
      </c>
      <c r="G683" s="14">
        <v>0</v>
      </c>
      <c r="H683" s="9" t="s">
        <v>998</v>
      </c>
      <c r="I683" s="15">
        <v>900201322</v>
      </c>
      <c r="J683" s="16" t="s">
        <v>69</v>
      </c>
      <c r="K683" s="17">
        <v>300</v>
      </c>
      <c r="L683" s="18" t="s">
        <v>70</v>
      </c>
      <c r="M683" s="19">
        <v>50050.25</v>
      </c>
      <c r="N683" s="19">
        <v>0</v>
      </c>
      <c r="O683" s="19">
        <f t="shared" si="46"/>
        <v>15015075</v>
      </c>
      <c r="P683" s="17" t="s">
        <v>69</v>
      </c>
      <c r="R683" s="31"/>
    </row>
    <row r="684" spans="1:18" x14ac:dyDescent="0.3">
      <c r="A684" s="9" t="s">
        <v>1091</v>
      </c>
      <c r="B684" s="10" t="s">
        <v>1284</v>
      </c>
      <c r="C684" s="11" t="s">
        <v>1269</v>
      </c>
      <c r="D684" s="12">
        <v>44176</v>
      </c>
      <c r="E684" s="12">
        <v>44176</v>
      </c>
      <c r="F684" s="13">
        <v>43988134</v>
      </c>
      <c r="G684" s="14">
        <v>0</v>
      </c>
      <c r="H684" s="9" t="s">
        <v>110</v>
      </c>
      <c r="I684" s="15">
        <v>900353659</v>
      </c>
      <c r="J684" s="16" t="s">
        <v>1285</v>
      </c>
      <c r="K684" s="17">
        <v>300</v>
      </c>
      <c r="L684" s="18" t="s">
        <v>21</v>
      </c>
      <c r="M684" s="19">
        <v>40201.01</v>
      </c>
      <c r="N684" s="19">
        <f t="shared" ref="N684:N685" si="47">M684*0.19</f>
        <v>7638.1919000000007</v>
      </c>
      <c r="O684" s="19">
        <f t="shared" si="46"/>
        <v>14351760.57</v>
      </c>
      <c r="P684" s="17" t="s">
        <v>82</v>
      </c>
      <c r="R684" s="31"/>
    </row>
    <row r="685" spans="1:18" x14ac:dyDescent="0.3">
      <c r="A685" s="9" t="s">
        <v>1091</v>
      </c>
      <c r="B685" s="10" t="s">
        <v>1284</v>
      </c>
      <c r="C685" s="11" t="s">
        <v>1269</v>
      </c>
      <c r="D685" s="12">
        <v>44176</v>
      </c>
      <c r="E685" s="12">
        <v>44176</v>
      </c>
      <c r="F685" s="13">
        <v>43988134</v>
      </c>
      <c r="G685" s="14">
        <v>0</v>
      </c>
      <c r="H685" s="9" t="s">
        <v>110</v>
      </c>
      <c r="I685" s="15">
        <v>900353659</v>
      </c>
      <c r="J685" s="16" t="s">
        <v>1286</v>
      </c>
      <c r="K685" s="17">
        <v>2800</v>
      </c>
      <c r="L685" s="18" t="s">
        <v>53</v>
      </c>
      <c r="M685" s="19">
        <v>8894.4699999999993</v>
      </c>
      <c r="N685" s="19">
        <f t="shared" si="47"/>
        <v>1689.9493</v>
      </c>
      <c r="O685" s="19">
        <f t="shared" si="46"/>
        <v>29636374.039999999</v>
      </c>
      <c r="P685" s="21" t="s">
        <v>656</v>
      </c>
      <c r="R685" s="31"/>
    </row>
    <row r="686" spans="1:18" x14ac:dyDescent="0.3">
      <c r="A686" s="9" t="s">
        <v>1091</v>
      </c>
      <c r="B686" s="10" t="s">
        <v>1287</v>
      </c>
      <c r="C686" s="11" t="s">
        <v>1269</v>
      </c>
      <c r="D686" s="12">
        <v>44176</v>
      </c>
      <c r="E686" s="12">
        <v>44176</v>
      </c>
      <c r="F686" s="13">
        <v>24108482</v>
      </c>
      <c r="G686" s="14">
        <v>0</v>
      </c>
      <c r="H686" s="9" t="s">
        <v>688</v>
      </c>
      <c r="I686" s="15">
        <v>830108770</v>
      </c>
      <c r="J686" s="16" t="s">
        <v>1279</v>
      </c>
      <c r="K686" s="17">
        <f>978*3.75</f>
        <v>3667.5</v>
      </c>
      <c r="L686" s="18" t="s">
        <v>36</v>
      </c>
      <c r="M686" s="19">
        <f>12834.17/3.75</f>
        <v>3422.4453333333336</v>
      </c>
      <c r="N686" s="19">
        <v>0</v>
      </c>
      <c r="O686" s="19">
        <f t="shared" si="46"/>
        <v>12551818.260000002</v>
      </c>
      <c r="P686" s="17" t="s">
        <v>161</v>
      </c>
      <c r="R686" s="31"/>
    </row>
    <row r="687" spans="1:18" x14ac:dyDescent="0.3">
      <c r="A687" s="9" t="s">
        <v>1091</v>
      </c>
      <c r="B687" s="10" t="s">
        <v>1287</v>
      </c>
      <c r="C687" s="11" t="s">
        <v>1269</v>
      </c>
      <c r="D687" s="12">
        <v>44176</v>
      </c>
      <c r="E687" s="12">
        <v>44176</v>
      </c>
      <c r="F687" s="13">
        <v>24108482</v>
      </c>
      <c r="G687" s="14">
        <v>0</v>
      </c>
      <c r="H687" s="9" t="s">
        <v>688</v>
      </c>
      <c r="I687" s="15">
        <v>830108770</v>
      </c>
      <c r="J687" s="16" t="s">
        <v>1271</v>
      </c>
      <c r="K687" s="17">
        <f>904*3.75</f>
        <v>3390</v>
      </c>
      <c r="L687" s="18" t="s">
        <v>36</v>
      </c>
      <c r="M687" s="19">
        <f>12783.93/3.75</f>
        <v>3409.0480000000002</v>
      </c>
      <c r="N687" s="19">
        <v>0</v>
      </c>
      <c r="O687" s="19">
        <f t="shared" si="46"/>
        <v>11556672.720000001</v>
      </c>
      <c r="P687" s="17" t="s">
        <v>37</v>
      </c>
      <c r="R687" s="31"/>
    </row>
    <row r="688" spans="1:18" x14ac:dyDescent="0.3">
      <c r="A688" s="9" t="s">
        <v>1091</v>
      </c>
      <c r="B688" s="10" t="s">
        <v>1288</v>
      </c>
      <c r="C688" s="11" t="s">
        <v>1289</v>
      </c>
      <c r="D688" s="12">
        <v>44180</v>
      </c>
      <c r="E688" s="12">
        <v>44180</v>
      </c>
      <c r="F688" s="13">
        <v>43417089</v>
      </c>
      <c r="G688" s="14">
        <v>0</v>
      </c>
      <c r="H688" s="9" t="s">
        <v>1290</v>
      </c>
      <c r="I688" s="15">
        <v>804002957</v>
      </c>
      <c r="J688" s="16" t="s">
        <v>69</v>
      </c>
      <c r="K688" s="17">
        <v>900</v>
      </c>
      <c r="L688" s="18" t="s">
        <v>70</v>
      </c>
      <c r="M688" s="19">
        <v>48241.21</v>
      </c>
      <c r="N688" s="19">
        <v>0</v>
      </c>
      <c r="O688" s="19">
        <f t="shared" si="46"/>
        <v>43417089</v>
      </c>
      <c r="P688" s="17" t="s">
        <v>69</v>
      </c>
      <c r="R688" s="31"/>
    </row>
    <row r="689" spans="1:18" x14ac:dyDescent="0.3">
      <c r="A689" s="9" t="s">
        <v>1291</v>
      </c>
      <c r="B689" s="10" t="s">
        <v>1292</v>
      </c>
      <c r="C689" s="11" t="s">
        <v>1293</v>
      </c>
      <c r="D689" s="12">
        <v>43915</v>
      </c>
      <c r="E689" s="12">
        <v>43916</v>
      </c>
      <c r="F689" s="13">
        <v>79231499</v>
      </c>
      <c r="G689" s="14">
        <v>0</v>
      </c>
      <c r="H689" s="9" t="s">
        <v>1294</v>
      </c>
      <c r="I689" s="15">
        <v>900916649</v>
      </c>
      <c r="J689" s="16" t="s">
        <v>575</v>
      </c>
      <c r="K689" s="17">
        <v>15000</v>
      </c>
      <c r="L689" s="18" t="s">
        <v>21</v>
      </c>
      <c r="M689" s="19">
        <v>1600</v>
      </c>
      <c r="N689" s="19">
        <v>0</v>
      </c>
      <c r="O689" s="19">
        <f t="shared" si="46"/>
        <v>24000000</v>
      </c>
      <c r="P689" s="17" t="s">
        <v>31</v>
      </c>
      <c r="R689" s="31"/>
    </row>
    <row r="690" spans="1:18" x14ac:dyDescent="0.3">
      <c r="A690" s="9" t="s">
        <v>1291</v>
      </c>
      <c r="B690" s="10" t="s">
        <v>1292</v>
      </c>
      <c r="C690" s="11" t="s">
        <v>1293</v>
      </c>
      <c r="D690" s="12">
        <v>43915</v>
      </c>
      <c r="E690" s="12">
        <v>43916</v>
      </c>
      <c r="F690" s="13">
        <v>79231499</v>
      </c>
      <c r="G690" s="14">
        <v>0</v>
      </c>
      <c r="H690" s="9" t="s">
        <v>1294</v>
      </c>
      <c r="I690" s="15">
        <v>900916649</v>
      </c>
      <c r="J690" s="16" t="s">
        <v>1295</v>
      </c>
      <c r="K690" s="17">
        <v>200</v>
      </c>
      <c r="L690" s="18" t="s">
        <v>21</v>
      </c>
      <c r="M690" s="19">
        <v>18000</v>
      </c>
      <c r="N690" s="19">
        <v>0</v>
      </c>
      <c r="O690" s="19">
        <f t="shared" si="46"/>
        <v>3600000</v>
      </c>
      <c r="P690" s="17" t="s">
        <v>31</v>
      </c>
      <c r="R690" s="31"/>
    </row>
    <row r="691" spans="1:18" x14ac:dyDescent="0.3">
      <c r="A691" s="9" t="s">
        <v>1291</v>
      </c>
      <c r="B691" s="10" t="s">
        <v>1292</v>
      </c>
      <c r="C691" s="11" t="s">
        <v>1293</v>
      </c>
      <c r="D691" s="12">
        <v>43915</v>
      </c>
      <c r="E691" s="12">
        <v>43916</v>
      </c>
      <c r="F691" s="13">
        <v>79231499</v>
      </c>
      <c r="G691" s="14">
        <v>0</v>
      </c>
      <c r="H691" s="9" t="s">
        <v>1294</v>
      </c>
      <c r="I691" s="15">
        <v>900916649</v>
      </c>
      <c r="J691" s="16" t="s">
        <v>505</v>
      </c>
      <c r="K691" s="17">
        <v>150</v>
      </c>
      <c r="L691" s="18" t="s">
        <v>70</v>
      </c>
      <c r="M691" s="19">
        <v>35000</v>
      </c>
      <c r="N691" s="19">
        <v>0</v>
      </c>
      <c r="O691" s="19">
        <f t="shared" si="46"/>
        <v>5250000</v>
      </c>
      <c r="P691" s="17" t="s">
        <v>69</v>
      </c>
      <c r="R691" s="31"/>
    </row>
    <row r="692" spans="1:18" x14ac:dyDescent="0.3">
      <c r="A692" s="9" t="s">
        <v>1291</v>
      </c>
      <c r="B692" s="10" t="s">
        <v>1292</v>
      </c>
      <c r="C692" s="11" t="s">
        <v>1293</v>
      </c>
      <c r="D692" s="12">
        <v>43915</v>
      </c>
      <c r="E692" s="12">
        <v>43916</v>
      </c>
      <c r="F692" s="13">
        <v>79231499</v>
      </c>
      <c r="G692" s="14">
        <v>0</v>
      </c>
      <c r="H692" s="9" t="s">
        <v>1294</v>
      </c>
      <c r="I692" s="15">
        <v>900916649</v>
      </c>
      <c r="J692" s="16" t="s">
        <v>1296</v>
      </c>
      <c r="K692" s="46">
        <v>1000</v>
      </c>
      <c r="L692" s="18" t="s">
        <v>36</v>
      </c>
      <c r="M692" s="19">
        <v>8000</v>
      </c>
      <c r="N692" s="19">
        <v>0</v>
      </c>
      <c r="O692" s="19">
        <f t="shared" si="46"/>
        <v>8000000</v>
      </c>
      <c r="P692" s="17" t="s">
        <v>39</v>
      </c>
      <c r="R692" s="31"/>
    </row>
    <row r="693" spans="1:18" x14ac:dyDescent="0.3">
      <c r="A693" s="9" t="s">
        <v>1291</v>
      </c>
      <c r="B693" s="10" t="s">
        <v>1292</v>
      </c>
      <c r="C693" s="11" t="s">
        <v>1293</v>
      </c>
      <c r="D693" s="12">
        <v>43915</v>
      </c>
      <c r="E693" s="12">
        <v>43916</v>
      </c>
      <c r="F693" s="13">
        <v>79231499</v>
      </c>
      <c r="G693" s="14">
        <v>0</v>
      </c>
      <c r="H693" s="9" t="s">
        <v>1294</v>
      </c>
      <c r="I693" s="15">
        <v>900916649</v>
      </c>
      <c r="J693" s="16" t="s">
        <v>1297</v>
      </c>
      <c r="K693" s="17">
        <v>456</v>
      </c>
      <c r="L693" s="18" t="s">
        <v>36</v>
      </c>
      <c r="M693" s="19">
        <v>26315.789473600002</v>
      </c>
      <c r="N693" s="19">
        <v>0</v>
      </c>
      <c r="O693" s="19">
        <f t="shared" si="46"/>
        <v>11999999.999961602</v>
      </c>
      <c r="P693" s="17" t="s">
        <v>37</v>
      </c>
      <c r="R693" s="31"/>
    </row>
    <row r="694" spans="1:18" x14ac:dyDescent="0.3">
      <c r="A694" s="9" t="s">
        <v>1291</v>
      </c>
      <c r="B694" s="10" t="s">
        <v>1292</v>
      </c>
      <c r="C694" s="11" t="s">
        <v>1293</v>
      </c>
      <c r="D694" s="12">
        <v>43915</v>
      </c>
      <c r="E694" s="12">
        <v>43916</v>
      </c>
      <c r="F694" s="13">
        <v>79231499</v>
      </c>
      <c r="G694" s="14">
        <v>0</v>
      </c>
      <c r="H694" s="9" t="s">
        <v>1294</v>
      </c>
      <c r="I694" s="15">
        <v>900916649</v>
      </c>
      <c r="J694" s="16" t="s">
        <v>1298</v>
      </c>
      <c r="K694" s="17">
        <v>800</v>
      </c>
      <c r="L694" s="29" t="s">
        <v>2135</v>
      </c>
      <c r="M694" s="19">
        <v>13000</v>
      </c>
      <c r="N694" s="19">
        <v>0</v>
      </c>
      <c r="O694" s="19">
        <f t="shared" si="46"/>
        <v>10400000</v>
      </c>
      <c r="P694" s="21" t="s">
        <v>656</v>
      </c>
      <c r="R694" s="31"/>
    </row>
    <row r="695" spans="1:18" x14ac:dyDescent="0.3">
      <c r="A695" s="9" t="s">
        <v>1291</v>
      </c>
      <c r="B695" s="10" t="s">
        <v>1292</v>
      </c>
      <c r="C695" s="11" t="s">
        <v>1293</v>
      </c>
      <c r="D695" s="12">
        <v>43915</v>
      </c>
      <c r="E695" s="12">
        <v>43916</v>
      </c>
      <c r="F695" s="13">
        <v>79231499</v>
      </c>
      <c r="G695" s="14">
        <v>0</v>
      </c>
      <c r="H695" s="9" t="s">
        <v>1294</v>
      </c>
      <c r="I695" s="15">
        <v>900916649</v>
      </c>
      <c r="J695" s="16" t="s">
        <v>1299</v>
      </c>
      <c r="K695" s="17">
        <v>37</v>
      </c>
      <c r="L695" s="18" t="s">
        <v>21</v>
      </c>
      <c r="M695" s="19">
        <v>157563</v>
      </c>
      <c r="N695" s="19">
        <f t="shared" ref="N695:N698" si="48">M695*0.19</f>
        <v>29936.97</v>
      </c>
      <c r="O695" s="19">
        <f t="shared" si="46"/>
        <v>6937498.8899999997</v>
      </c>
      <c r="P695" s="17" t="s">
        <v>82</v>
      </c>
      <c r="R695" s="31"/>
    </row>
    <row r="696" spans="1:18" x14ac:dyDescent="0.3">
      <c r="A696" s="9" t="s">
        <v>1291</v>
      </c>
      <c r="B696" s="10" t="s">
        <v>1292</v>
      </c>
      <c r="C696" s="11" t="s">
        <v>1293</v>
      </c>
      <c r="D696" s="12">
        <v>43915</v>
      </c>
      <c r="E696" s="12">
        <v>43916</v>
      </c>
      <c r="F696" s="13">
        <v>79231499</v>
      </c>
      <c r="G696" s="14">
        <v>0</v>
      </c>
      <c r="H696" s="9" t="s">
        <v>1294</v>
      </c>
      <c r="I696" s="15">
        <v>900916649</v>
      </c>
      <c r="J696" s="16" t="s">
        <v>1300</v>
      </c>
      <c r="K696" s="17">
        <v>50</v>
      </c>
      <c r="L696" s="18" t="s">
        <v>21</v>
      </c>
      <c r="M696" s="19">
        <v>87500</v>
      </c>
      <c r="N696" s="19">
        <f t="shared" si="48"/>
        <v>16625</v>
      </c>
      <c r="O696" s="19">
        <f t="shared" si="46"/>
        <v>5206250</v>
      </c>
      <c r="P696" s="17" t="s">
        <v>82</v>
      </c>
      <c r="R696" s="31"/>
    </row>
    <row r="697" spans="1:18" x14ac:dyDescent="0.3">
      <c r="A697" s="9" t="s">
        <v>1291</v>
      </c>
      <c r="B697" s="10" t="s">
        <v>1292</v>
      </c>
      <c r="C697" s="11" t="s">
        <v>1293</v>
      </c>
      <c r="D697" s="12">
        <v>43915</v>
      </c>
      <c r="E697" s="12">
        <v>43916</v>
      </c>
      <c r="F697" s="13">
        <v>79231499</v>
      </c>
      <c r="G697" s="14">
        <v>0</v>
      </c>
      <c r="H697" s="9" t="s">
        <v>1294</v>
      </c>
      <c r="I697" s="15">
        <v>900916649</v>
      </c>
      <c r="J697" s="16" t="s">
        <v>1301</v>
      </c>
      <c r="K697" s="17">
        <v>100</v>
      </c>
      <c r="L697" s="18" t="s">
        <v>21</v>
      </c>
      <c r="M697" s="19">
        <v>21000</v>
      </c>
      <c r="N697" s="19">
        <f t="shared" si="48"/>
        <v>3990</v>
      </c>
      <c r="O697" s="19">
        <f t="shared" si="46"/>
        <v>2499000</v>
      </c>
      <c r="P697" s="17" t="s">
        <v>22</v>
      </c>
      <c r="R697" s="31"/>
    </row>
    <row r="698" spans="1:18" x14ac:dyDescent="0.3">
      <c r="A698" s="9" t="s">
        <v>1291</v>
      </c>
      <c r="B698" s="10" t="s">
        <v>1292</v>
      </c>
      <c r="C698" s="11" t="s">
        <v>1293</v>
      </c>
      <c r="D698" s="12">
        <v>43915</v>
      </c>
      <c r="E698" s="12">
        <v>43916</v>
      </c>
      <c r="F698" s="13">
        <v>79231499</v>
      </c>
      <c r="G698" s="14">
        <v>0</v>
      </c>
      <c r="H698" s="9" t="s">
        <v>1294</v>
      </c>
      <c r="I698" s="15">
        <v>900916649</v>
      </c>
      <c r="J698" s="16" t="s">
        <v>1918</v>
      </c>
      <c r="K698" s="17">
        <v>100</v>
      </c>
      <c r="L698" s="18" t="s">
        <v>24</v>
      </c>
      <c r="M698" s="19">
        <v>11250</v>
      </c>
      <c r="N698" s="19">
        <f t="shared" si="48"/>
        <v>2137.5</v>
      </c>
      <c r="O698" s="19">
        <f t="shared" si="46"/>
        <v>1338750</v>
      </c>
      <c r="P698" s="17" t="s">
        <v>25</v>
      </c>
      <c r="R698" s="31"/>
    </row>
    <row r="699" spans="1:18" x14ac:dyDescent="0.3">
      <c r="A699" s="9" t="s">
        <v>1291</v>
      </c>
      <c r="B699" s="10" t="s">
        <v>1302</v>
      </c>
      <c r="C699" s="11" t="s">
        <v>1303</v>
      </c>
      <c r="D699" s="12">
        <v>43915</v>
      </c>
      <c r="E699" s="12">
        <v>43921</v>
      </c>
      <c r="F699" s="13">
        <v>55131040</v>
      </c>
      <c r="G699" s="14">
        <v>0</v>
      </c>
      <c r="H699" s="9" t="s">
        <v>1304</v>
      </c>
      <c r="I699" s="15">
        <v>900885138</v>
      </c>
      <c r="J699" s="16" t="s">
        <v>1305</v>
      </c>
      <c r="K699" s="17">
        <v>235</v>
      </c>
      <c r="L699" s="18" t="s">
        <v>21</v>
      </c>
      <c r="M699" s="19">
        <v>171600</v>
      </c>
      <c r="N699" s="19">
        <v>0</v>
      </c>
      <c r="O699" s="19">
        <f t="shared" si="46"/>
        <v>40326000</v>
      </c>
      <c r="P699" s="16" t="s">
        <v>119</v>
      </c>
      <c r="R699" s="31"/>
    </row>
    <row r="700" spans="1:18" x14ac:dyDescent="0.3">
      <c r="A700" s="9" t="s">
        <v>1291</v>
      </c>
      <c r="B700" s="10" t="s">
        <v>1302</v>
      </c>
      <c r="C700" s="11" t="s">
        <v>1303</v>
      </c>
      <c r="D700" s="12">
        <v>43915</v>
      </c>
      <c r="E700" s="12">
        <v>43921</v>
      </c>
      <c r="F700" s="13">
        <v>55131040</v>
      </c>
      <c r="G700" s="14">
        <v>0</v>
      </c>
      <c r="H700" s="9" t="s">
        <v>1304</v>
      </c>
      <c r="I700" s="15">
        <v>900885138</v>
      </c>
      <c r="J700" s="16" t="s">
        <v>616</v>
      </c>
      <c r="K700" s="17">
        <v>235</v>
      </c>
      <c r="L700" s="18" t="s">
        <v>21</v>
      </c>
      <c r="M700" s="19">
        <f>63000/1.19</f>
        <v>52941.176470588238</v>
      </c>
      <c r="N700" s="19">
        <f t="shared" ref="N700:N770" si="49">M700*0.19</f>
        <v>10058.823529411766</v>
      </c>
      <c r="O700" s="19">
        <f t="shared" si="46"/>
        <v>14805000</v>
      </c>
      <c r="P700" s="17" t="s">
        <v>120</v>
      </c>
      <c r="R700" s="31"/>
    </row>
    <row r="701" spans="1:18" x14ac:dyDescent="0.3">
      <c r="A701" s="9" t="s">
        <v>1291</v>
      </c>
      <c r="B701" s="10">
        <v>49486</v>
      </c>
      <c r="C701" s="11" t="s">
        <v>2169</v>
      </c>
      <c r="D701" s="12">
        <v>43980</v>
      </c>
      <c r="E701" s="12">
        <v>43980</v>
      </c>
      <c r="F701" s="13">
        <v>10586100</v>
      </c>
      <c r="G701" s="14">
        <v>0</v>
      </c>
      <c r="H701" s="9" t="s">
        <v>346</v>
      </c>
      <c r="I701" s="15">
        <v>890900943</v>
      </c>
      <c r="J701" s="16" t="s">
        <v>2170</v>
      </c>
      <c r="K701" s="17">
        <v>42</v>
      </c>
      <c r="L701" s="18" t="s">
        <v>21</v>
      </c>
      <c r="M701" s="19">
        <v>252050</v>
      </c>
      <c r="N701" s="19">
        <v>0</v>
      </c>
      <c r="O701" s="19">
        <f t="shared" ref="O701:O732" si="50">K701*(M701+N701)</f>
        <v>10586100</v>
      </c>
      <c r="P701" s="17" t="s">
        <v>82</v>
      </c>
      <c r="R701" s="31"/>
    </row>
    <row r="702" spans="1:18" x14ac:dyDescent="0.3">
      <c r="A702" s="9" t="s">
        <v>1291</v>
      </c>
      <c r="B702" s="10">
        <v>48389</v>
      </c>
      <c r="C702" s="11" t="s">
        <v>2171</v>
      </c>
      <c r="D702" s="12">
        <v>43980</v>
      </c>
      <c r="E702" s="12">
        <v>43964</v>
      </c>
      <c r="F702" s="13">
        <v>15000000</v>
      </c>
      <c r="G702" s="14">
        <v>0</v>
      </c>
      <c r="H702" s="9" t="s">
        <v>2172</v>
      </c>
      <c r="I702" s="15">
        <v>830037946</v>
      </c>
      <c r="J702" s="16" t="s">
        <v>2173</v>
      </c>
      <c r="K702" s="17">
        <v>25</v>
      </c>
      <c r="L702" s="18" t="s">
        <v>21</v>
      </c>
      <c r="M702" s="19">
        <f>+F702/K702</f>
        <v>600000</v>
      </c>
      <c r="N702" s="19">
        <v>0</v>
      </c>
      <c r="O702" s="19">
        <f t="shared" si="50"/>
        <v>15000000</v>
      </c>
      <c r="P702" s="17" t="s">
        <v>185</v>
      </c>
      <c r="R702" s="31"/>
    </row>
    <row r="703" spans="1:18" x14ac:dyDescent="0.3">
      <c r="A703" s="9" t="s">
        <v>1291</v>
      </c>
      <c r="B703" s="10">
        <v>48389</v>
      </c>
      <c r="C703" s="11" t="s">
        <v>2171</v>
      </c>
      <c r="D703" s="12">
        <v>43980</v>
      </c>
      <c r="E703" s="12">
        <v>43964</v>
      </c>
      <c r="F703" s="13">
        <v>824075</v>
      </c>
      <c r="G703" s="14">
        <v>0</v>
      </c>
      <c r="H703" s="9" t="s">
        <v>2172</v>
      </c>
      <c r="I703" s="15">
        <v>830037946</v>
      </c>
      <c r="J703" s="16" t="s">
        <v>2174</v>
      </c>
      <c r="K703" s="17">
        <v>25</v>
      </c>
      <c r="L703" s="18" t="s">
        <v>21</v>
      </c>
      <c r="M703" s="19">
        <f>+F703/K703</f>
        <v>32963</v>
      </c>
      <c r="N703" s="19">
        <v>0</v>
      </c>
      <c r="O703" s="19">
        <f t="shared" si="50"/>
        <v>824075</v>
      </c>
      <c r="P703" s="17" t="s">
        <v>334</v>
      </c>
      <c r="R703" s="31"/>
    </row>
    <row r="704" spans="1:18" x14ac:dyDescent="0.3">
      <c r="A704" s="9" t="s">
        <v>1291</v>
      </c>
      <c r="B704" s="10">
        <v>49492</v>
      </c>
      <c r="C704" s="11" t="s">
        <v>2303</v>
      </c>
      <c r="D704" s="12">
        <v>43980</v>
      </c>
      <c r="E704" s="12">
        <v>43980</v>
      </c>
      <c r="F704" s="13">
        <v>4448000</v>
      </c>
      <c r="G704" s="14">
        <v>0</v>
      </c>
      <c r="H704" s="9" t="s">
        <v>2172</v>
      </c>
      <c r="I704" s="15">
        <v>830037946</v>
      </c>
      <c r="J704" s="16" t="s">
        <v>2175</v>
      </c>
      <c r="K704" s="17">
        <f>20*80</f>
        <v>1600</v>
      </c>
      <c r="L704" s="18" t="s">
        <v>36</v>
      </c>
      <c r="M704" s="19">
        <f>55600/20</f>
        <v>2780</v>
      </c>
      <c r="N704" s="19">
        <v>0</v>
      </c>
      <c r="O704" s="19">
        <f t="shared" si="50"/>
        <v>4448000</v>
      </c>
      <c r="P704" s="17" t="s">
        <v>39</v>
      </c>
      <c r="R704" s="31"/>
    </row>
    <row r="705" spans="1:18" x14ac:dyDescent="0.3">
      <c r="A705" s="9" t="s">
        <v>1291</v>
      </c>
      <c r="B705" s="10">
        <v>49492</v>
      </c>
      <c r="C705" s="11" t="s">
        <v>2303</v>
      </c>
      <c r="D705" s="12">
        <v>43980</v>
      </c>
      <c r="E705" s="12">
        <v>43980</v>
      </c>
      <c r="F705" s="13">
        <v>19920000</v>
      </c>
      <c r="G705" s="14">
        <v>0</v>
      </c>
      <c r="H705" s="9" t="s">
        <v>2172</v>
      </c>
      <c r="I705" s="15">
        <v>830037946</v>
      </c>
      <c r="J705" s="16" t="s">
        <v>2176</v>
      </c>
      <c r="K705" s="17">
        <f>400*3.8</f>
        <v>1520</v>
      </c>
      <c r="L705" s="18" t="s">
        <v>36</v>
      </c>
      <c r="M705" s="19">
        <f>49800/3.8</f>
        <v>13105.263157894737</v>
      </c>
      <c r="N705" s="19">
        <v>0</v>
      </c>
      <c r="O705" s="19">
        <f t="shared" si="50"/>
        <v>19920000</v>
      </c>
      <c r="P705" s="17" t="s">
        <v>37</v>
      </c>
      <c r="R705" s="31"/>
    </row>
    <row r="706" spans="1:18" x14ac:dyDescent="0.3">
      <c r="A706" s="9" t="s">
        <v>1291</v>
      </c>
      <c r="B706" s="10">
        <v>49722</v>
      </c>
      <c r="C706" s="11" t="s">
        <v>2307</v>
      </c>
      <c r="D706" s="12">
        <v>43984</v>
      </c>
      <c r="E706" s="12">
        <v>43984</v>
      </c>
      <c r="F706" s="13">
        <v>23734890</v>
      </c>
      <c r="G706" s="14">
        <v>0</v>
      </c>
      <c r="H706" s="9" t="s">
        <v>2172</v>
      </c>
      <c r="I706" s="15">
        <v>830037946</v>
      </c>
      <c r="J706" s="16" t="s">
        <v>2177</v>
      </c>
      <c r="K706" s="17">
        <v>90</v>
      </c>
      <c r="L706" s="18" t="s">
        <v>21</v>
      </c>
      <c r="M706" s="19">
        <v>123641</v>
      </c>
      <c r="N706" s="19">
        <v>0</v>
      </c>
      <c r="O706" s="19">
        <f t="shared" si="50"/>
        <v>11127690</v>
      </c>
      <c r="P706" s="17" t="s">
        <v>82</v>
      </c>
      <c r="R706" s="31"/>
    </row>
    <row r="707" spans="1:18" x14ac:dyDescent="0.3">
      <c r="A707" s="9" t="s">
        <v>1291</v>
      </c>
      <c r="B707" s="10">
        <v>49722</v>
      </c>
      <c r="C707" s="11" t="s">
        <v>2307</v>
      </c>
      <c r="D707" s="12">
        <v>43984</v>
      </c>
      <c r="E707" s="12">
        <v>43984</v>
      </c>
      <c r="F707" s="13">
        <v>23734890</v>
      </c>
      <c r="G707" s="14">
        <v>0</v>
      </c>
      <c r="H707" s="9" t="s">
        <v>2172</v>
      </c>
      <c r="I707" s="15">
        <v>830037946</v>
      </c>
      <c r="J707" s="16" t="s">
        <v>2178</v>
      </c>
      <c r="K707" s="17">
        <v>1300</v>
      </c>
      <c r="L707" s="18" t="s">
        <v>2135</v>
      </c>
      <c r="M707" s="19">
        <v>6664</v>
      </c>
      <c r="N707" s="19">
        <v>0</v>
      </c>
      <c r="O707" s="19">
        <f t="shared" si="50"/>
        <v>8663200</v>
      </c>
      <c r="P707" s="17" t="s">
        <v>656</v>
      </c>
      <c r="R707" s="31"/>
    </row>
    <row r="708" spans="1:18" x14ac:dyDescent="0.3">
      <c r="A708" s="9" t="s">
        <v>1291</v>
      </c>
      <c r="B708" s="10">
        <v>49722</v>
      </c>
      <c r="C708" s="11" t="s">
        <v>2307</v>
      </c>
      <c r="D708" s="12">
        <v>43984</v>
      </c>
      <c r="E708" s="12">
        <v>43984</v>
      </c>
      <c r="F708" s="13">
        <v>23734890</v>
      </c>
      <c r="G708" s="14">
        <v>0</v>
      </c>
      <c r="H708" s="9" t="s">
        <v>2172</v>
      </c>
      <c r="I708" s="15">
        <v>830037946</v>
      </c>
      <c r="J708" s="16" t="s">
        <v>2179</v>
      </c>
      <c r="K708" s="17">
        <v>340</v>
      </c>
      <c r="L708" s="18" t="s">
        <v>36</v>
      </c>
      <c r="M708" s="19">
        <v>11600</v>
      </c>
      <c r="N708" s="19">
        <v>0</v>
      </c>
      <c r="O708" s="19">
        <f t="shared" si="50"/>
        <v>3944000</v>
      </c>
      <c r="P708" s="17" t="s">
        <v>161</v>
      </c>
      <c r="R708" s="31"/>
    </row>
    <row r="709" spans="1:18" x14ac:dyDescent="0.3">
      <c r="A709" s="9" t="s">
        <v>1291</v>
      </c>
      <c r="B709" s="10">
        <v>50118</v>
      </c>
      <c r="C709" s="11" t="s">
        <v>2304</v>
      </c>
      <c r="D709" s="12">
        <v>43990</v>
      </c>
      <c r="E709" s="12">
        <v>43990</v>
      </c>
      <c r="F709" s="13">
        <v>43453800</v>
      </c>
      <c r="G709" s="14">
        <v>0</v>
      </c>
      <c r="H709" s="9" t="s">
        <v>2180</v>
      </c>
      <c r="I709" s="15">
        <v>900059238</v>
      </c>
      <c r="J709" s="16" t="s">
        <v>2181</v>
      </c>
      <c r="K709" s="17">
        <f>650*50</f>
        <v>32500</v>
      </c>
      <c r="L709" s="18" t="s">
        <v>21</v>
      </c>
      <c r="M709" s="19">
        <f>+F709/K709</f>
        <v>1337.04</v>
      </c>
      <c r="N709" s="19">
        <v>0</v>
      </c>
      <c r="O709" s="19">
        <f t="shared" si="50"/>
        <v>43453800</v>
      </c>
      <c r="P709" s="17" t="s">
        <v>31</v>
      </c>
      <c r="R709" s="31"/>
    </row>
    <row r="710" spans="1:18" x14ac:dyDescent="0.3">
      <c r="A710" s="9" t="s">
        <v>1291</v>
      </c>
      <c r="B710" s="10">
        <v>50258</v>
      </c>
      <c r="C710" s="11" t="s">
        <v>2305</v>
      </c>
      <c r="D710" s="12">
        <v>43992</v>
      </c>
      <c r="E710" s="12">
        <v>43992</v>
      </c>
      <c r="F710" s="13">
        <v>5790336</v>
      </c>
      <c r="G710" s="14">
        <v>0</v>
      </c>
      <c r="H710" s="9" t="s">
        <v>172</v>
      </c>
      <c r="I710" s="15">
        <v>900155107</v>
      </c>
      <c r="J710" s="16" t="s">
        <v>505</v>
      </c>
      <c r="K710" s="17">
        <v>136</v>
      </c>
      <c r="L710" s="18" t="s">
        <v>70</v>
      </c>
      <c r="M710" s="19">
        <v>42576</v>
      </c>
      <c r="N710" s="19">
        <v>0</v>
      </c>
      <c r="O710" s="19">
        <f t="shared" si="50"/>
        <v>5790336</v>
      </c>
      <c r="P710" s="17" t="s">
        <v>69</v>
      </c>
      <c r="R710" s="31"/>
    </row>
    <row r="711" spans="1:18" x14ac:dyDescent="0.3">
      <c r="A711" s="9" t="s">
        <v>1291</v>
      </c>
      <c r="B711" s="10">
        <v>50631</v>
      </c>
      <c r="C711" s="11" t="s">
        <v>2306</v>
      </c>
      <c r="D711" s="12">
        <v>43999</v>
      </c>
      <c r="E711" s="12">
        <v>43999</v>
      </c>
      <c r="F711" s="13">
        <v>585480</v>
      </c>
      <c r="G711" s="14">
        <v>0</v>
      </c>
      <c r="H711" s="9" t="s">
        <v>2172</v>
      </c>
      <c r="I711" s="15">
        <v>830037946</v>
      </c>
      <c r="J711" s="16" t="s">
        <v>2182</v>
      </c>
      <c r="K711" s="17">
        <v>30</v>
      </c>
      <c r="L711" s="18" t="s">
        <v>53</v>
      </c>
      <c r="M711" s="19">
        <v>19516</v>
      </c>
      <c r="N711" s="19">
        <v>0</v>
      </c>
      <c r="O711" s="19">
        <f t="shared" si="50"/>
        <v>585480</v>
      </c>
      <c r="P711" s="17" t="s">
        <v>54</v>
      </c>
      <c r="R711" s="31"/>
    </row>
    <row r="712" spans="1:18" x14ac:dyDescent="0.3">
      <c r="A712" s="9" t="s">
        <v>1291</v>
      </c>
      <c r="B712" s="10">
        <v>51355</v>
      </c>
      <c r="C712" s="11" t="s">
        <v>2183</v>
      </c>
      <c r="D712" s="12">
        <v>44013</v>
      </c>
      <c r="E712" s="12">
        <v>44013</v>
      </c>
      <c r="F712" s="13">
        <v>1986500</v>
      </c>
      <c r="G712" s="14">
        <v>0</v>
      </c>
      <c r="H712" s="9" t="s">
        <v>363</v>
      </c>
      <c r="I712" s="15">
        <v>860062147</v>
      </c>
      <c r="J712" s="16" t="s">
        <v>2184</v>
      </c>
      <c r="K712" s="17">
        <v>350</v>
      </c>
      <c r="L712" s="18" t="s">
        <v>21</v>
      </c>
      <c r="M712" s="19">
        <v>4990</v>
      </c>
      <c r="N712" s="19">
        <v>0</v>
      </c>
      <c r="O712" s="19">
        <f t="shared" si="50"/>
        <v>1746500</v>
      </c>
      <c r="P712" s="17" t="s">
        <v>75</v>
      </c>
      <c r="R712" s="31"/>
    </row>
    <row r="713" spans="1:18" x14ac:dyDescent="0.3">
      <c r="A713" s="9" t="s">
        <v>1291</v>
      </c>
      <c r="B713" s="10">
        <v>61519</v>
      </c>
      <c r="C713" s="11" t="s">
        <v>2185</v>
      </c>
      <c r="D713" s="12">
        <v>44176</v>
      </c>
      <c r="E713" s="12">
        <v>44176</v>
      </c>
      <c r="F713" s="13">
        <v>179714276</v>
      </c>
      <c r="G713" s="14">
        <v>0</v>
      </c>
      <c r="H713" s="9" t="s">
        <v>106</v>
      </c>
      <c r="I713" s="15">
        <v>900564459</v>
      </c>
      <c r="J713" s="16" t="s">
        <v>2186</v>
      </c>
      <c r="K713" s="17">
        <v>94</v>
      </c>
      <c r="L713" s="18" t="s">
        <v>21</v>
      </c>
      <c r="M713" s="19">
        <f>1462100+129500+15000</f>
        <v>1606600</v>
      </c>
      <c r="N713" s="19">
        <f t="shared" ref="N713" si="51">M713*0.19</f>
        <v>305254</v>
      </c>
      <c r="O713" s="19">
        <f t="shared" si="50"/>
        <v>179714276</v>
      </c>
      <c r="P713" s="17" t="s">
        <v>1751</v>
      </c>
      <c r="R713" s="31"/>
    </row>
    <row r="714" spans="1:18" x14ac:dyDescent="0.3">
      <c r="A714" s="9" t="s">
        <v>1291</v>
      </c>
      <c r="B714" s="10">
        <v>61820</v>
      </c>
      <c r="C714" s="11" t="s">
        <v>2187</v>
      </c>
      <c r="D714" s="12">
        <v>44180</v>
      </c>
      <c r="E714" s="12">
        <v>44180</v>
      </c>
      <c r="F714" s="13">
        <v>3200000</v>
      </c>
      <c r="G714" s="14">
        <v>0</v>
      </c>
      <c r="H714" s="9" t="s">
        <v>382</v>
      </c>
      <c r="I714" s="15">
        <v>900567130</v>
      </c>
      <c r="J714" s="16" t="s">
        <v>2188</v>
      </c>
      <c r="K714" s="17">
        <v>20</v>
      </c>
      <c r="L714" s="18" t="s">
        <v>21</v>
      </c>
      <c r="M714" s="19">
        <v>155000</v>
      </c>
      <c r="N714" s="19">
        <v>0</v>
      </c>
      <c r="O714" s="19">
        <f t="shared" si="50"/>
        <v>3100000</v>
      </c>
      <c r="P714" s="17" t="s">
        <v>2189</v>
      </c>
      <c r="R714" s="31"/>
    </row>
    <row r="715" spans="1:18" x14ac:dyDescent="0.3">
      <c r="A715" s="9" t="s">
        <v>1291</v>
      </c>
      <c r="B715" s="10">
        <v>61823</v>
      </c>
      <c r="C715" s="11" t="s">
        <v>2190</v>
      </c>
      <c r="D715" s="12">
        <v>44180</v>
      </c>
      <c r="E715" s="12">
        <v>44180</v>
      </c>
      <c r="F715" s="13">
        <v>795000</v>
      </c>
      <c r="G715" s="14">
        <v>0</v>
      </c>
      <c r="H715" s="9" t="s">
        <v>280</v>
      </c>
      <c r="I715" s="15">
        <v>900505419</v>
      </c>
      <c r="J715" s="16" t="s">
        <v>1932</v>
      </c>
      <c r="K715" s="17">
        <v>15</v>
      </c>
      <c r="L715" s="18" t="s">
        <v>21</v>
      </c>
      <c r="M715" s="19">
        <v>45000</v>
      </c>
      <c r="N715" s="19">
        <v>0</v>
      </c>
      <c r="O715" s="19">
        <f t="shared" si="50"/>
        <v>675000</v>
      </c>
      <c r="P715" s="17" t="s">
        <v>185</v>
      </c>
      <c r="R715" s="31"/>
    </row>
    <row r="716" spans="1:18" x14ac:dyDescent="0.3">
      <c r="A716" s="9" t="s">
        <v>1291</v>
      </c>
      <c r="B716" s="10">
        <v>61827</v>
      </c>
      <c r="C716" s="11" t="s">
        <v>2191</v>
      </c>
      <c r="D716" s="12">
        <v>44180</v>
      </c>
      <c r="E716" s="12">
        <v>44180</v>
      </c>
      <c r="F716" s="13">
        <v>6080000</v>
      </c>
      <c r="G716" s="14">
        <v>0</v>
      </c>
      <c r="H716" s="9" t="s">
        <v>2192</v>
      </c>
      <c r="I716" s="15">
        <v>900225460</v>
      </c>
      <c r="J716" s="16" t="s">
        <v>2193</v>
      </c>
      <c r="K716" s="17">
        <v>19</v>
      </c>
      <c r="L716" s="18" t="s">
        <v>21</v>
      </c>
      <c r="M716" s="19">
        <v>320000</v>
      </c>
      <c r="N716" s="19">
        <v>0</v>
      </c>
      <c r="O716" s="19">
        <f t="shared" si="50"/>
        <v>6080000</v>
      </c>
      <c r="P716" s="17" t="s">
        <v>2194</v>
      </c>
      <c r="R716" s="31"/>
    </row>
    <row r="717" spans="1:18" x14ac:dyDescent="0.3">
      <c r="A717" s="9" t="s">
        <v>1291</v>
      </c>
      <c r="B717" s="10">
        <v>61827</v>
      </c>
      <c r="C717" s="11" t="s">
        <v>2191</v>
      </c>
      <c r="D717" s="12">
        <v>44180</v>
      </c>
      <c r="E717" s="12">
        <v>44180</v>
      </c>
      <c r="F717" s="13">
        <v>21820000</v>
      </c>
      <c r="G717" s="14">
        <v>0</v>
      </c>
      <c r="H717" s="9" t="s">
        <v>2192</v>
      </c>
      <c r="I717" s="15">
        <v>900225460</v>
      </c>
      <c r="J717" s="16" t="s">
        <v>2195</v>
      </c>
      <c r="K717" s="17">
        <v>20</v>
      </c>
      <c r="L717" s="18" t="s">
        <v>21</v>
      </c>
      <c r="M717" s="19">
        <v>1091000</v>
      </c>
      <c r="N717" s="19">
        <v>0</v>
      </c>
      <c r="O717" s="19">
        <f t="shared" si="50"/>
        <v>21820000</v>
      </c>
      <c r="P717" s="17" t="s">
        <v>2196</v>
      </c>
      <c r="R717" s="31"/>
    </row>
    <row r="718" spans="1:18" x14ac:dyDescent="0.3">
      <c r="A718" s="9" t="s">
        <v>1291</v>
      </c>
      <c r="B718" s="10">
        <v>61949</v>
      </c>
      <c r="C718" s="11" t="s">
        <v>2197</v>
      </c>
      <c r="D718" s="12">
        <v>44181</v>
      </c>
      <c r="E718" s="12">
        <v>44181</v>
      </c>
      <c r="F718" s="13">
        <v>45000000</v>
      </c>
      <c r="G718" s="14">
        <v>0</v>
      </c>
      <c r="H718" s="9" t="s">
        <v>401</v>
      </c>
      <c r="I718" s="15">
        <v>901211678</v>
      </c>
      <c r="J718" s="16" t="s">
        <v>2308</v>
      </c>
      <c r="K718" s="17">
        <v>3000</v>
      </c>
      <c r="L718" s="18" t="s">
        <v>21</v>
      </c>
      <c r="M718" s="19">
        <v>15000</v>
      </c>
      <c r="N718" s="19">
        <v>0</v>
      </c>
      <c r="O718" s="19">
        <f t="shared" si="50"/>
        <v>45000000</v>
      </c>
      <c r="P718" s="17" t="s">
        <v>2198</v>
      </c>
      <c r="R718" s="31"/>
    </row>
    <row r="719" spans="1:18" x14ac:dyDescent="0.3">
      <c r="A719" s="9" t="s">
        <v>1291</v>
      </c>
      <c r="B719" s="10">
        <v>61951</v>
      </c>
      <c r="C719" s="11" t="s">
        <v>2199</v>
      </c>
      <c r="D719" s="12">
        <v>44181</v>
      </c>
      <c r="E719" s="12">
        <v>44181</v>
      </c>
      <c r="F719" s="13">
        <v>21500000</v>
      </c>
      <c r="G719" s="14">
        <v>0</v>
      </c>
      <c r="H719" s="9" t="s">
        <v>2200</v>
      </c>
      <c r="I719" s="15">
        <v>900442577</v>
      </c>
      <c r="J719" s="16" t="s">
        <v>2201</v>
      </c>
      <c r="K719" s="17">
        <f>500*100</f>
        <v>50000</v>
      </c>
      <c r="L719" s="18" t="s">
        <v>21</v>
      </c>
      <c r="M719" s="19">
        <f>+F719/K719</f>
        <v>430</v>
      </c>
      <c r="N719" s="19">
        <v>0</v>
      </c>
      <c r="O719" s="19">
        <f t="shared" si="50"/>
        <v>21500000</v>
      </c>
      <c r="P719" s="17" t="s">
        <v>31</v>
      </c>
      <c r="R719" s="31"/>
    </row>
    <row r="720" spans="1:18" x14ac:dyDescent="0.3">
      <c r="A720" s="9" t="s">
        <v>1291</v>
      </c>
      <c r="B720" s="10">
        <v>61951</v>
      </c>
      <c r="C720" s="11" t="s">
        <v>2199</v>
      </c>
      <c r="D720" s="12">
        <v>44181</v>
      </c>
      <c r="E720" s="12">
        <v>44181</v>
      </c>
      <c r="F720" s="13">
        <v>8000000</v>
      </c>
      <c r="G720" s="14">
        <v>0</v>
      </c>
      <c r="H720" s="9" t="s">
        <v>2200</v>
      </c>
      <c r="I720" s="15">
        <v>900442577</v>
      </c>
      <c r="J720" s="16" t="s">
        <v>2202</v>
      </c>
      <c r="K720" s="17">
        <v>400</v>
      </c>
      <c r="L720" s="18" t="s">
        <v>21</v>
      </c>
      <c r="M720" s="19">
        <v>20000</v>
      </c>
      <c r="N720" s="19">
        <v>0</v>
      </c>
      <c r="O720" s="19">
        <f t="shared" si="50"/>
        <v>8000000</v>
      </c>
      <c r="P720" s="17" t="s">
        <v>2198</v>
      </c>
      <c r="R720" s="31"/>
    </row>
    <row r="721" spans="1:18" x14ac:dyDescent="0.3">
      <c r="A721" s="9" t="s">
        <v>1291</v>
      </c>
      <c r="B721" s="10">
        <v>61972</v>
      </c>
      <c r="C721" s="11" t="s">
        <v>2203</v>
      </c>
      <c r="D721" s="12">
        <v>44181</v>
      </c>
      <c r="E721" s="12">
        <v>44181</v>
      </c>
      <c r="F721" s="13">
        <v>5455000</v>
      </c>
      <c r="G721" s="14">
        <v>0</v>
      </c>
      <c r="H721" s="9" t="s">
        <v>2204</v>
      </c>
      <c r="I721" s="15">
        <v>901320101</v>
      </c>
      <c r="J721" s="16" t="s">
        <v>2205</v>
      </c>
      <c r="K721" s="17">
        <v>30</v>
      </c>
      <c r="L721" s="18" t="s">
        <v>21</v>
      </c>
      <c r="M721" s="19">
        <v>150000</v>
      </c>
      <c r="N721" s="19">
        <f>+M721*19%</f>
        <v>28500</v>
      </c>
      <c r="O721" s="19">
        <f t="shared" si="50"/>
        <v>5355000</v>
      </c>
      <c r="P721" s="17" t="s">
        <v>328</v>
      </c>
      <c r="R721" s="31"/>
    </row>
    <row r="722" spans="1:18" x14ac:dyDescent="0.3">
      <c r="A722" s="9" t="s">
        <v>1291</v>
      </c>
      <c r="B722" s="10">
        <v>61976</v>
      </c>
      <c r="C722" s="11" t="s">
        <v>2206</v>
      </c>
      <c r="D722" s="12">
        <v>44181</v>
      </c>
      <c r="E722" s="12">
        <v>44181</v>
      </c>
      <c r="F722" s="13">
        <v>3349950</v>
      </c>
      <c r="G722" s="14">
        <v>0</v>
      </c>
      <c r="H722" s="9" t="s">
        <v>356</v>
      </c>
      <c r="I722" s="15">
        <v>900300970</v>
      </c>
      <c r="J722" s="16" t="s">
        <v>2207</v>
      </c>
      <c r="K722" s="17">
        <v>50</v>
      </c>
      <c r="L722" s="18" t="s">
        <v>21</v>
      </c>
      <c r="M722" s="19">
        <v>66999</v>
      </c>
      <c r="N722" s="19">
        <f t="shared" ref="N722:N723" si="52">+M722*19%</f>
        <v>12729.81</v>
      </c>
      <c r="O722" s="19">
        <f t="shared" si="50"/>
        <v>3986440.5</v>
      </c>
      <c r="P722" s="17" t="s">
        <v>82</v>
      </c>
      <c r="R722" s="31"/>
    </row>
    <row r="723" spans="1:18" x14ac:dyDescent="0.3">
      <c r="A723" s="9" t="s">
        <v>1291</v>
      </c>
      <c r="B723" s="10">
        <v>61976</v>
      </c>
      <c r="C723" s="11" t="s">
        <v>2206</v>
      </c>
      <c r="D723" s="12">
        <v>44181</v>
      </c>
      <c r="E723" s="12">
        <v>44181</v>
      </c>
      <c r="F723" s="13">
        <v>2042500</v>
      </c>
      <c r="G723" s="14">
        <v>0</v>
      </c>
      <c r="H723" s="9" t="s">
        <v>356</v>
      </c>
      <c r="I723" s="15">
        <v>900300970</v>
      </c>
      <c r="J723" s="16" t="s">
        <v>2208</v>
      </c>
      <c r="K723" s="17">
        <v>50</v>
      </c>
      <c r="L723" s="18" t="s">
        <v>21</v>
      </c>
      <c r="M723" s="19">
        <v>40850</v>
      </c>
      <c r="N723" s="19">
        <f t="shared" si="52"/>
        <v>7761.5</v>
      </c>
      <c r="O723" s="19">
        <f t="shared" si="50"/>
        <v>2430575</v>
      </c>
      <c r="P723" s="17" t="s">
        <v>82</v>
      </c>
      <c r="R723" s="31"/>
    </row>
    <row r="724" spans="1:18" x14ac:dyDescent="0.3">
      <c r="A724" s="9" t="s">
        <v>1291</v>
      </c>
      <c r="B724" s="10">
        <v>61986</v>
      </c>
      <c r="C724" s="11" t="s">
        <v>2209</v>
      </c>
      <c r="D724" s="12">
        <v>44181</v>
      </c>
      <c r="E724" s="12">
        <v>44181</v>
      </c>
      <c r="F724" s="13">
        <v>2720000</v>
      </c>
      <c r="G724" s="14">
        <v>0</v>
      </c>
      <c r="H724" s="9" t="s">
        <v>688</v>
      </c>
      <c r="I724" s="15">
        <v>830108770</v>
      </c>
      <c r="J724" s="16" t="s">
        <v>2210</v>
      </c>
      <c r="K724" s="17">
        <v>400</v>
      </c>
      <c r="L724" s="18" t="s">
        <v>36</v>
      </c>
      <c r="M724" s="19">
        <v>6800</v>
      </c>
      <c r="N724" s="19">
        <v>0</v>
      </c>
      <c r="O724" s="19">
        <f t="shared" si="50"/>
        <v>2720000</v>
      </c>
      <c r="P724" s="17" t="s">
        <v>161</v>
      </c>
      <c r="R724" s="31"/>
    </row>
    <row r="725" spans="1:18" x14ac:dyDescent="0.3">
      <c r="A725" s="9" t="s">
        <v>1291</v>
      </c>
      <c r="B725" s="10">
        <v>61994</v>
      </c>
      <c r="C725" s="11" t="s">
        <v>2211</v>
      </c>
      <c r="D725" s="12">
        <v>44181</v>
      </c>
      <c r="E725" s="12">
        <v>44181</v>
      </c>
      <c r="F725" s="13">
        <v>6525000</v>
      </c>
      <c r="G725" s="14">
        <v>0</v>
      </c>
      <c r="H725" s="9" t="s">
        <v>2212</v>
      </c>
      <c r="I725" s="15">
        <v>810000481</v>
      </c>
      <c r="J725" s="16" t="s">
        <v>2213</v>
      </c>
      <c r="K725" s="17">
        <f>150*3.75</f>
        <v>562.5</v>
      </c>
      <c r="L725" s="18" t="s">
        <v>36</v>
      </c>
      <c r="M725" s="19">
        <f>43500/3.75</f>
        <v>11600</v>
      </c>
      <c r="N725" s="19">
        <v>0</v>
      </c>
      <c r="O725" s="19">
        <f t="shared" si="50"/>
        <v>6525000</v>
      </c>
      <c r="P725" s="17" t="s">
        <v>39</v>
      </c>
      <c r="R725" s="31"/>
    </row>
    <row r="726" spans="1:18" x14ac:dyDescent="0.3">
      <c r="A726" s="9" t="s">
        <v>1291</v>
      </c>
      <c r="B726" s="10">
        <v>62140</v>
      </c>
      <c r="C726" s="11" t="s">
        <v>2214</v>
      </c>
      <c r="D726" s="12">
        <v>44182</v>
      </c>
      <c r="E726" s="12">
        <v>44182</v>
      </c>
      <c r="F726" s="13">
        <v>5078000</v>
      </c>
      <c r="G726" s="14">
        <v>0</v>
      </c>
      <c r="H726" s="9" t="s">
        <v>1421</v>
      </c>
      <c r="I726" s="15">
        <v>901104771</v>
      </c>
      <c r="J726" s="16" t="s">
        <v>2215</v>
      </c>
      <c r="K726" s="17">
        <v>2000</v>
      </c>
      <c r="L726" s="18" t="s">
        <v>36</v>
      </c>
      <c r="M726" s="19">
        <v>2539</v>
      </c>
      <c r="N726" s="19">
        <v>0</v>
      </c>
      <c r="O726" s="19">
        <f t="shared" si="50"/>
        <v>5078000</v>
      </c>
      <c r="P726" s="17" t="s">
        <v>875</v>
      </c>
      <c r="R726" s="31"/>
    </row>
    <row r="727" spans="1:18" x14ac:dyDescent="0.3">
      <c r="A727" s="9" t="s">
        <v>1291</v>
      </c>
      <c r="B727" s="10">
        <v>62161</v>
      </c>
      <c r="C727" s="11" t="s">
        <v>2216</v>
      </c>
      <c r="D727" s="12">
        <v>44182</v>
      </c>
      <c r="E727" s="12">
        <v>44182</v>
      </c>
      <c r="F727" s="13">
        <v>6699900</v>
      </c>
      <c r="G727" s="14">
        <v>0</v>
      </c>
      <c r="H727" s="9" t="s">
        <v>356</v>
      </c>
      <c r="I727" s="15">
        <v>900300970</v>
      </c>
      <c r="J727" s="16" t="s">
        <v>2207</v>
      </c>
      <c r="K727" s="17">
        <v>100</v>
      </c>
      <c r="L727" s="18" t="s">
        <v>21</v>
      </c>
      <c r="M727" s="19">
        <v>66999</v>
      </c>
      <c r="N727" s="19">
        <f t="shared" ref="N727:N729" si="53">+M727*19%</f>
        <v>12729.81</v>
      </c>
      <c r="O727" s="19">
        <f t="shared" si="50"/>
        <v>7972881</v>
      </c>
      <c r="P727" s="17" t="s">
        <v>82</v>
      </c>
      <c r="R727" s="31"/>
    </row>
    <row r="728" spans="1:18" x14ac:dyDescent="0.3">
      <c r="A728" s="9" t="s">
        <v>1291</v>
      </c>
      <c r="B728" s="10">
        <v>62163</v>
      </c>
      <c r="C728" s="11" t="s">
        <v>2217</v>
      </c>
      <c r="D728" s="12">
        <v>44182</v>
      </c>
      <c r="E728" s="12">
        <v>44182</v>
      </c>
      <c r="F728" s="13">
        <v>5250000</v>
      </c>
      <c r="G728" s="14">
        <v>0</v>
      </c>
      <c r="H728" s="9" t="s">
        <v>2218</v>
      </c>
      <c r="I728" s="15">
        <v>10003534</v>
      </c>
      <c r="J728" s="16" t="s">
        <v>2219</v>
      </c>
      <c r="K728" s="17">
        <v>50</v>
      </c>
      <c r="L728" s="18" t="s">
        <v>21</v>
      </c>
      <c r="M728" s="19">
        <v>105000</v>
      </c>
      <c r="N728" s="19">
        <f t="shared" si="53"/>
        <v>19950</v>
      </c>
      <c r="O728" s="19">
        <f t="shared" si="50"/>
        <v>6247500</v>
      </c>
      <c r="P728" s="17" t="s">
        <v>82</v>
      </c>
      <c r="R728" s="31"/>
    </row>
    <row r="729" spans="1:18" x14ac:dyDescent="0.3">
      <c r="A729" s="9" t="s">
        <v>1291</v>
      </c>
      <c r="B729" s="10">
        <v>62165</v>
      </c>
      <c r="C729" s="11" t="s">
        <v>2220</v>
      </c>
      <c r="D729" s="12">
        <v>44182</v>
      </c>
      <c r="E729" s="12">
        <v>44182</v>
      </c>
      <c r="F729" s="13">
        <v>18432000</v>
      </c>
      <c r="G729" s="14">
        <v>0</v>
      </c>
      <c r="H729" s="9" t="s">
        <v>106</v>
      </c>
      <c r="I729" s="15">
        <v>900564459</v>
      </c>
      <c r="J729" s="16" t="s">
        <v>2221</v>
      </c>
      <c r="K729" s="17">
        <v>72</v>
      </c>
      <c r="L729" s="18" t="s">
        <v>21</v>
      </c>
      <c r="M729" s="19">
        <v>256000</v>
      </c>
      <c r="N729" s="19">
        <f t="shared" si="53"/>
        <v>48640</v>
      </c>
      <c r="O729" s="19">
        <f t="shared" si="50"/>
        <v>21934080</v>
      </c>
      <c r="P729" s="17" t="s">
        <v>119</v>
      </c>
      <c r="R729" s="31"/>
    </row>
    <row r="730" spans="1:18" x14ac:dyDescent="0.3">
      <c r="A730" s="9" t="s">
        <v>1291</v>
      </c>
      <c r="B730" s="10">
        <v>62166</v>
      </c>
      <c r="C730" s="11" t="s">
        <v>2222</v>
      </c>
      <c r="D730" s="12">
        <v>44182</v>
      </c>
      <c r="E730" s="12">
        <v>44182</v>
      </c>
      <c r="F730" s="13">
        <v>17070000</v>
      </c>
      <c r="G730" s="14">
        <v>0</v>
      </c>
      <c r="H730" s="9" t="s">
        <v>401</v>
      </c>
      <c r="I730" s="15">
        <v>901211678</v>
      </c>
      <c r="J730" s="16" t="s">
        <v>2223</v>
      </c>
      <c r="K730" s="17">
        <v>300</v>
      </c>
      <c r="L730" s="18" t="s">
        <v>70</v>
      </c>
      <c r="M730" s="19">
        <v>56900</v>
      </c>
      <c r="N730" s="19">
        <v>0</v>
      </c>
      <c r="O730" s="19">
        <f t="shared" si="50"/>
        <v>17070000</v>
      </c>
      <c r="P730" s="17" t="s">
        <v>69</v>
      </c>
      <c r="R730" s="31"/>
    </row>
    <row r="731" spans="1:18" x14ac:dyDescent="0.3">
      <c r="A731" s="9" t="s">
        <v>1291</v>
      </c>
      <c r="B731" s="10">
        <v>62167</v>
      </c>
      <c r="C731" s="11" t="s">
        <v>2224</v>
      </c>
      <c r="D731" s="12">
        <v>44182</v>
      </c>
      <c r="E731" s="12">
        <v>44182</v>
      </c>
      <c r="F731" s="13">
        <v>100000</v>
      </c>
      <c r="G731" s="14">
        <v>0</v>
      </c>
      <c r="H731" s="9" t="s">
        <v>687</v>
      </c>
      <c r="I731" s="15">
        <v>900907931</v>
      </c>
      <c r="J731" s="16" t="s">
        <v>2225</v>
      </c>
      <c r="K731" s="17">
        <v>50</v>
      </c>
      <c r="L731" s="18" t="s">
        <v>21</v>
      </c>
      <c r="M731" s="19">
        <v>2000</v>
      </c>
      <c r="N731" s="19">
        <v>0</v>
      </c>
      <c r="O731" s="19">
        <f t="shared" si="50"/>
        <v>100000</v>
      </c>
      <c r="P731" s="17" t="s">
        <v>75</v>
      </c>
      <c r="R731" s="31"/>
    </row>
    <row r="732" spans="1:18" x14ac:dyDescent="0.3">
      <c r="A732" s="9" t="s">
        <v>1291</v>
      </c>
      <c r="B732" s="10">
        <v>62248</v>
      </c>
      <c r="C732" s="11" t="s">
        <v>2226</v>
      </c>
      <c r="D732" s="12">
        <v>44183</v>
      </c>
      <c r="E732" s="12">
        <v>44183</v>
      </c>
      <c r="F732" s="13">
        <v>357000</v>
      </c>
      <c r="G732" s="14">
        <v>0</v>
      </c>
      <c r="H732" s="9" t="s">
        <v>401</v>
      </c>
      <c r="I732" s="15">
        <v>901211678</v>
      </c>
      <c r="J732" s="16" t="s">
        <v>2227</v>
      </c>
      <c r="K732" s="17">
        <v>30</v>
      </c>
      <c r="L732" s="18" t="s">
        <v>53</v>
      </c>
      <c r="M732" s="19">
        <v>10000</v>
      </c>
      <c r="N732" s="19">
        <v>1900</v>
      </c>
      <c r="O732" s="19">
        <f t="shared" si="50"/>
        <v>357000</v>
      </c>
      <c r="P732" s="17" t="s">
        <v>257</v>
      </c>
      <c r="R732" s="31"/>
    </row>
    <row r="733" spans="1:18" x14ac:dyDescent="0.3">
      <c r="A733" s="9" t="s">
        <v>1291</v>
      </c>
      <c r="B733" s="10">
        <v>62249</v>
      </c>
      <c r="C733" s="11" t="s">
        <v>2228</v>
      </c>
      <c r="D733" s="12">
        <v>44183</v>
      </c>
      <c r="E733" s="12">
        <v>44183</v>
      </c>
      <c r="F733" s="13">
        <v>8034335.5</v>
      </c>
      <c r="G733" s="14">
        <v>0</v>
      </c>
      <c r="H733" s="9" t="s">
        <v>795</v>
      </c>
      <c r="I733" s="15">
        <v>900671732</v>
      </c>
      <c r="J733" s="16" t="s">
        <v>2219</v>
      </c>
      <c r="K733" s="17">
        <v>50</v>
      </c>
      <c r="L733" s="18" t="s">
        <v>21</v>
      </c>
      <c r="M733" s="19">
        <v>116995</v>
      </c>
      <c r="N733" s="19">
        <f>+M733*19%</f>
        <v>22229.05</v>
      </c>
      <c r="O733" s="19">
        <f t="shared" ref="O733:O744" si="54">K733*(M733+N733)</f>
        <v>6961202.4999999991</v>
      </c>
      <c r="P733" s="17" t="s">
        <v>82</v>
      </c>
      <c r="R733" s="31"/>
    </row>
    <row r="734" spans="1:18" x14ac:dyDescent="0.3">
      <c r="A734" s="9" t="s">
        <v>1291</v>
      </c>
      <c r="B734" s="10">
        <v>62249</v>
      </c>
      <c r="C734" s="11" t="s">
        <v>2228</v>
      </c>
      <c r="D734" s="12">
        <v>44183</v>
      </c>
      <c r="E734" s="12">
        <v>44183</v>
      </c>
      <c r="F734" s="13">
        <v>8034335.5</v>
      </c>
      <c r="G734" s="14">
        <v>0</v>
      </c>
      <c r="H734" s="9" t="s">
        <v>795</v>
      </c>
      <c r="I734" s="15">
        <v>900671732</v>
      </c>
      <c r="J734" s="16" t="s">
        <v>2229</v>
      </c>
      <c r="K734" s="17">
        <v>30</v>
      </c>
      <c r="L734" s="18" t="s">
        <v>2230</v>
      </c>
      <c r="M734" s="19">
        <v>5690</v>
      </c>
      <c r="N734" s="19">
        <f>+M734*19%</f>
        <v>1081.0999999999999</v>
      </c>
      <c r="O734" s="19">
        <f t="shared" si="54"/>
        <v>203133</v>
      </c>
      <c r="P734" s="17" t="s">
        <v>54</v>
      </c>
      <c r="R734" s="31"/>
    </row>
    <row r="735" spans="1:18" x14ac:dyDescent="0.3">
      <c r="A735" s="9" t="s">
        <v>1291</v>
      </c>
      <c r="B735" s="10">
        <v>62250</v>
      </c>
      <c r="C735" s="11" t="s">
        <v>2231</v>
      </c>
      <c r="D735" s="12">
        <v>44183</v>
      </c>
      <c r="E735" s="12">
        <v>44187</v>
      </c>
      <c r="F735" s="13">
        <v>26775000</v>
      </c>
      <c r="G735" s="14">
        <v>0</v>
      </c>
      <c r="H735" s="9" t="s">
        <v>271</v>
      </c>
      <c r="I735" s="15">
        <v>19254921</v>
      </c>
      <c r="J735" s="16" t="s">
        <v>2232</v>
      </c>
      <c r="K735" s="17">
        <v>9000</v>
      </c>
      <c r="L735" s="18" t="s">
        <v>2135</v>
      </c>
      <c r="M735" s="19">
        <v>2500</v>
      </c>
      <c r="N735" s="19">
        <f>+M735*19%</f>
        <v>475</v>
      </c>
      <c r="O735" s="19">
        <f t="shared" si="54"/>
        <v>26775000</v>
      </c>
      <c r="P735" s="17" t="s">
        <v>656</v>
      </c>
      <c r="R735" s="31"/>
    </row>
    <row r="736" spans="1:18" x14ac:dyDescent="0.3">
      <c r="A736" s="9" t="s">
        <v>1291</v>
      </c>
      <c r="B736" s="10">
        <v>62501</v>
      </c>
      <c r="C736" s="11" t="s">
        <v>2233</v>
      </c>
      <c r="D736" s="12">
        <v>44187</v>
      </c>
      <c r="E736" s="12">
        <v>44187</v>
      </c>
      <c r="F736" s="13">
        <v>76952778</v>
      </c>
      <c r="G736" s="14">
        <v>0</v>
      </c>
      <c r="H736" s="9" t="s">
        <v>2234</v>
      </c>
      <c r="I736" s="15">
        <v>830110570</v>
      </c>
      <c r="J736" s="16" t="s">
        <v>2233</v>
      </c>
      <c r="K736" s="17">
        <v>30</v>
      </c>
      <c r="L736" s="18" t="s">
        <v>21</v>
      </c>
      <c r="M736" s="19">
        <v>2155540</v>
      </c>
      <c r="N736" s="19">
        <v>409552.6</v>
      </c>
      <c r="O736" s="19">
        <f t="shared" si="54"/>
        <v>76952778</v>
      </c>
      <c r="P736" s="17" t="s">
        <v>215</v>
      </c>
      <c r="R736" s="31"/>
    </row>
    <row r="737" spans="1:18" x14ac:dyDescent="0.3">
      <c r="A737" s="9" t="s">
        <v>1291</v>
      </c>
      <c r="B737" s="10">
        <v>62670</v>
      </c>
      <c r="C737" s="11" t="s">
        <v>2235</v>
      </c>
      <c r="D737" s="12">
        <v>44188</v>
      </c>
      <c r="E737" s="12">
        <v>44188</v>
      </c>
      <c r="F737" s="13">
        <v>15803200</v>
      </c>
      <c r="G737" s="14">
        <v>0</v>
      </c>
      <c r="H737" s="9" t="s">
        <v>1401</v>
      </c>
      <c r="I737" s="15">
        <v>900584757</v>
      </c>
      <c r="J737" s="16" t="s">
        <v>2236</v>
      </c>
      <c r="K737" s="17">
        <v>83</v>
      </c>
      <c r="L737" s="18" t="s">
        <v>21</v>
      </c>
      <c r="M737" s="19">
        <v>160000</v>
      </c>
      <c r="N737" s="19">
        <f>+M737*19%</f>
        <v>30400</v>
      </c>
      <c r="O737" s="19">
        <f t="shared" si="54"/>
        <v>15803200</v>
      </c>
      <c r="P737" s="17" t="s">
        <v>120</v>
      </c>
      <c r="R737" s="31"/>
    </row>
    <row r="738" spans="1:18" x14ac:dyDescent="0.3">
      <c r="A738" s="9" t="s">
        <v>1291</v>
      </c>
      <c r="B738" s="10">
        <v>62734</v>
      </c>
      <c r="C738" s="11" t="s">
        <v>2237</v>
      </c>
      <c r="D738" s="12">
        <v>44188</v>
      </c>
      <c r="E738" s="12">
        <v>44188</v>
      </c>
      <c r="F738" s="13">
        <v>658700</v>
      </c>
      <c r="G738" s="14">
        <v>0</v>
      </c>
      <c r="H738" s="9" t="s">
        <v>401</v>
      </c>
      <c r="I738" s="15">
        <v>901211678</v>
      </c>
      <c r="J738" s="16" t="s">
        <v>2237</v>
      </c>
      <c r="K738" s="17">
        <v>650</v>
      </c>
      <c r="L738" s="18" t="s">
        <v>21</v>
      </c>
      <c r="M738" s="19">
        <v>898</v>
      </c>
      <c r="N738" s="19">
        <v>0</v>
      </c>
      <c r="O738" s="19">
        <f t="shared" si="54"/>
        <v>583700</v>
      </c>
      <c r="P738" s="17" t="s">
        <v>31</v>
      </c>
      <c r="R738" s="31"/>
    </row>
    <row r="739" spans="1:18" x14ac:dyDescent="0.3">
      <c r="A739" s="9" t="s">
        <v>1291</v>
      </c>
      <c r="B739" s="10">
        <v>62740</v>
      </c>
      <c r="C739" s="11" t="s">
        <v>2238</v>
      </c>
      <c r="D739" s="12">
        <v>44188</v>
      </c>
      <c r="E739" s="12">
        <v>44188</v>
      </c>
      <c r="F739" s="13">
        <v>3337500</v>
      </c>
      <c r="G739" s="14">
        <v>0</v>
      </c>
      <c r="H739" s="9" t="s">
        <v>2239</v>
      </c>
      <c r="I739" s="15">
        <v>900932987</v>
      </c>
      <c r="J739" s="16" t="s">
        <v>2240</v>
      </c>
      <c r="K739" s="17">
        <v>500</v>
      </c>
      <c r="L739" s="18" t="s">
        <v>21</v>
      </c>
      <c r="M739" s="19">
        <v>6675</v>
      </c>
      <c r="N739" s="19">
        <v>0</v>
      </c>
      <c r="O739" s="19">
        <f t="shared" si="54"/>
        <v>3337500</v>
      </c>
      <c r="P739" s="17" t="s">
        <v>31</v>
      </c>
      <c r="R739" s="31"/>
    </row>
    <row r="740" spans="1:18" x14ac:dyDescent="0.3">
      <c r="A740" s="9" t="s">
        <v>1291</v>
      </c>
      <c r="B740" s="10">
        <v>62745</v>
      </c>
      <c r="C740" s="11" t="s">
        <v>2241</v>
      </c>
      <c r="D740" s="12">
        <v>44188</v>
      </c>
      <c r="E740" s="12">
        <v>44188</v>
      </c>
      <c r="F740" s="13">
        <v>4450000</v>
      </c>
      <c r="G740" s="14">
        <v>0</v>
      </c>
      <c r="H740" s="9" t="s">
        <v>158</v>
      </c>
      <c r="I740" s="15">
        <v>830001338</v>
      </c>
      <c r="J740" s="16" t="s">
        <v>2242</v>
      </c>
      <c r="K740" s="17">
        <v>1000</v>
      </c>
      <c r="L740" s="18" t="s">
        <v>36</v>
      </c>
      <c r="M740" s="19">
        <v>4450</v>
      </c>
      <c r="N740" s="19">
        <v>0</v>
      </c>
      <c r="O740" s="19">
        <f t="shared" si="54"/>
        <v>4450000</v>
      </c>
      <c r="P740" s="17" t="s">
        <v>37</v>
      </c>
      <c r="R740" s="31"/>
    </row>
    <row r="741" spans="1:18" x14ac:dyDescent="0.3">
      <c r="A741" s="9" t="s">
        <v>1291</v>
      </c>
      <c r="B741" s="10">
        <v>62768</v>
      </c>
      <c r="C741" s="11" t="s">
        <v>2243</v>
      </c>
      <c r="D741" s="12">
        <v>44189</v>
      </c>
      <c r="E741" s="12">
        <v>44189</v>
      </c>
      <c r="F741" s="13">
        <v>26944480</v>
      </c>
      <c r="G741" s="14">
        <v>0</v>
      </c>
      <c r="H741" s="9" t="s">
        <v>332</v>
      </c>
      <c r="I741" s="15">
        <v>830037946</v>
      </c>
      <c r="J741" s="16" t="s">
        <v>2244</v>
      </c>
      <c r="K741" s="17">
        <v>20</v>
      </c>
      <c r="L741" s="18" t="s">
        <v>21</v>
      </c>
      <c r="M741" s="19">
        <v>22003</v>
      </c>
      <c r="N741" s="19">
        <v>0</v>
      </c>
      <c r="O741" s="19">
        <f t="shared" si="54"/>
        <v>440060</v>
      </c>
      <c r="P741" s="17" t="s">
        <v>334</v>
      </c>
      <c r="R741" s="31"/>
    </row>
    <row r="742" spans="1:18" x14ac:dyDescent="0.3">
      <c r="A742" s="9" t="s">
        <v>1291</v>
      </c>
      <c r="B742" s="10">
        <v>62768</v>
      </c>
      <c r="C742" s="11" t="s">
        <v>2243</v>
      </c>
      <c r="D742" s="12">
        <v>44189</v>
      </c>
      <c r="E742" s="12">
        <v>44189</v>
      </c>
      <c r="F742" s="13">
        <v>26944480</v>
      </c>
      <c r="G742" s="14">
        <v>0</v>
      </c>
      <c r="H742" s="9" t="s">
        <v>332</v>
      </c>
      <c r="I742" s="15">
        <v>830037946</v>
      </c>
      <c r="J742" s="16" t="s">
        <v>2245</v>
      </c>
      <c r="K742" s="17">
        <v>40</v>
      </c>
      <c r="L742" s="18" t="s">
        <v>21</v>
      </c>
      <c r="M742" s="19">
        <v>57703</v>
      </c>
      <c r="N742" s="19">
        <v>0</v>
      </c>
      <c r="O742" s="19">
        <f t="shared" si="54"/>
        <v>2308120</v>
      </c>
      <c r="P742" s="17" t="s">
        <v>334</v>
      </c>
      <c r="R742" s="31"/>
    </row>
    <row r="743" spans="1:18" x14ac:dyDescent="0.3">
      <c r="A743" s="9" t="s">
        <v>1291</v>
      </c>
      <c r="B743" s="10">
        <v>62768</v>
      </c>
      <c r="C743" s="11" t="s">
        <v>2243</v>
      </c>
      <c r="D743" s="12">
        <v>44189</v>
      </c>
      <c r="E743" s="12">
        <v>44189</v>
      </c>
      <c r="F743" s="13">
        <v>26944480</v>
      </c>
      <c r="G743" s="14">
        <v>0</v>
      </c>
      <c r="H743" s="9" t="s">
        <v>332</v>
      </c>
      <c r="I743" s="15">
        <v>830037946</v>
      </c>
      <c r="J743" s="16" t="s">
        <v>2246</v>
      </c>
      <c r="K743" s="17">
        <v>20</v>
      </c>
      <c r="L743" s="18" t="s">
        <v>21</v>
      </c>
      <c r="M743" s="19">
        <v>15815</v>
      </c>
      <c r="N743" s="19">
        <v>0</v>
      </c>
      <c r="O743" s="19">
        <f t="shared" si="54"/>
        <v>316300</v>
      </c>
      <c r="P743" s="17" t="s">
        <v>334</v>
      </c>
      <c r="R743" s="31"/>
    </row>
    <row r="744" spans="1:18" x14ac:dyDescent="0.3">
      <c r="A744" s="9" t="s">
        <v>1291</v>
      </c>
      <c r="B744" s="10">
        <v>62768</v>
      </c>
      <c r="C744" s="11" t="s">
        <v>2243</v>
      </c>
      <c r="D744" s="12">
        <v>44189</v>
      </c>
      <c r="E744" s="12">
        <v>44189</v>
      </c>
      <c r="F744" s="13">
        <v>26944480</v>
      </c>
      <c r="G744" s="14">
        <v>0</v>
      </c>
      <c r="H744" s="9" t="s">
        <v>332</v>
      </c>
      <c r="I744" s="15">
        <v>830037946</v>
      </c>
      <c r="J744" s="16" t="s">
        <v>2247</v>
      </c>
      <c r="K744" s="17">
        <f>800*50</f>
        <v>40000</v>
      </c>
      <c r="L744" s="18" t="s">
        <v>21</v>
      </c>
      <c r="M744" s="19">
        <v>597</v>
      </c>
      <c r="N744" s="19">
        <v>0</v>
      </c>
      <c r="O744" s="19">
        <f t="shared" si="54"/>
        <v>23880000</v>
      </c>
      <c r="P744" s="17" t="s">
        <v>31</v>
      </c>
      <c r="R744" s="31"/>
    </row>
    <row r="745" spans="1:18" x14ac:dyDescent="0.3">
      <c r="A745" s="9" t="s">
        <v>1291</v>
      </c>
      <c r="B745" s="10" t="s">
        <v>2248</v>
      </c>
      <c r="C745" s="11" t="s">
        <v>2249</v>
      </c>
      <c r="D745" s="12">
        <v>44012</v>
      </c>
      <c r="E745" s="12">
        <v>44013</v>
      </c>
      <c r="F745" s="13">
        <v>5600000</v>
      </c>
      <c r="G745" s="14">
        <v>0</v>
      </c>
      <c r="H745" s="9" t="s">
        <v>2250</v>
      </c>
      <c r="I745" s="15">
        <v>1088316189</v>
      </c>
      <c r="J745" s="16" t="s">
        <v>2313</v>
      </c>
      <c r="K745" s="17">
        <v>1</v>
      </c>
      <c r="L745" s="18" t="s">
        <v>44</v>
      </c>
      <c r="M745" s="19">
        <v>1400000</v>
      </c>
      <c r="N745" s="19">
        <v>0</v>
      </c>
      <c r="O745" s="19">
        <f>K745*(M745+N745)*4</f>
        <v>5600000</v>
      </c>
      <c r="P745" s="17" t="s">
        <v>45</v>
      </c>
      <c r="R745" s="31"/>
    </row>
    <row r="746" spans="1:18" x14ac:dyDescent="0.3">
      <c r="A746" s="9" t="s">
        <v>1291</v>
      </c>
      <c r="B746" s="10" t="s">
        <v>2251</v>
      </c>
      <c r="C746" s="11" t="s">
        <v>2249</v>
      </c>
      <c r="D746" s="12">
        <v>44012</v>
      </c>
      <c r="E746" s="12">
        <v>44013</v>
      </c>
      <c r="F746" s="13">
        <v>5600000</v>
      </c>
      <c r="G746" s="14">
        <v>0</v>
      </c>
      <c r="H746" s="9" t="s">
        <v>2252</v>
      </c>
      <c r="I746" s="15">
        <v>1088344089</v>
      </c>
      <c r="J746" s="16" t="s">
        <v>2313</v>
      </c>
      <c r="K746" s="17">
        <v>1</v>
      </c>
      <c r="L746" s="18" t="s">
        <v>44</v>
      </c>
      <c r="M746" s="19">
        <v>1400000</v>
      </c>
      <c r="N746" s="19">
        <v>0</v>
      </c>
      <c r="O746" s="19">
        <f>K746*(M746+N746)*4</f>
        <v>5600000</v>
      </c>
      <c r="P746" s="17" t="s">
        <v>45</v>
      </c>
      <c r="R746" s="31"/>
    </row>
    <row r="747" spans="1:18" x14ac:dyDescent="0.3">
      <c r="A747" s="9" t="s">
        <v>1291</v>
      </c>
      <c r="B747" s="10" t="s">
        <v>2253</v>
      </c>
      <c r="C747" s="11" t="s">
        <v>2249</v>
      </c>
      <c r="D747" s="12">
        <v>44012</v>
      </c>
      <c r="E747" s="12">
        <v>44013</v>
      </c>
      <c r="F747" s="13">
        <v>5600000</v>
      </c>
      <c r="G747" s="14">
        <v>0</v>
      </c>
      <c r="H747" s="9" t="s">
        <v>2254</v>
      </c>
      <c r="I747" s="15">
        <v>1089720322</v>
      </c>
      <c r="J747" s="16" t="s">
        <v>2249</v>
      </c>
      <c r="K747" s="17">
        <v>1</v>
      </c>
      <c r="L747" s="18" t="s">
        <v>44</v>
      </c>
      <c r="M747" s="19">
        <v>1400000</v>
      </c>
      <c r="N747" s="19">
        <v>0</v>
      </c>
      <c r="O747" s="19">
        <f>K747*(M747+N747)*4</f>
        <v>5600000</v>
      </c>
      <c r="P747" s="17" t="s">
        <v>45</v>
      </c>
      <c r="R747" s="31"/>
    </row>
    <row r="748" spans="1:18" x14ac:dyDescent="0.3">
      <c r="A748" s="9" t="s">
        <v>1291</v>
      </c>
      <c r="B748" s="10" t="s">
        <v>2255</v>
      </c>
      <c r="C748" s="11" t="s">
        <v>2249</v>
      </c>
      <c r="D748" s="12">
        <v>44012</v>
      </c>
      <c r="E748" s="12">
        <v>44013</v>
      </c>
      <c r="F748" s="13">
        <v>5600000</v>
      </c>
      <c r="G748" s="14">
        <v>0</v>
      </c>
      <c r="H748" s="9" t="s">
        <v>2256</v>
      </c>
      <c r="I748" s="15">
        <v>1088311737</v>
      </c>
      <c r="J748" s="16" t="s">
        <v>2313</v>
      </c>
      <c r="K748" s="17">
        <v>1</v>
      </c>
      <c r="L748" s="18" t="s">
        <v>44</v>
      </c>
      <c r="M748" s="19">
        <v>1400000</v>
      </c>
      <c r="N748" s="19">
        <v>0</v>
      </c>
      <c r="O748" s="19">
        <f>K748*(M748+N748)*4</f>
        <v>5600000</v>
      </c>
      <c r="P748" s="17" t="s">
        <v>45</v>
      </c>
      <c r="R748" s="31"/>
    </row>
    <row r="749" spans="1:18" x14ac:dyDescent="0.3">
      <c r="A749" s="9" t="s">
        <v>1291</v>
      </c>
      <c r="B749" s="10" t="s">
        <v>2257</v>
      </c>
      <c r="C749" s="11" t="s">
        <v>2249</v>
      </c>
      <c r="D749" s="12">
        <v>44012</v>
      </c>
      <c r="E749" s="12">
        <v>44013</v>
      </c>
      <c r="F749" s="13">
        <v>5600000</v>
      </c>
      <c r="G749" s="14">
        <v>0</v>
      </c>
      <c r="H749" s="9" t="s">
        <v>2258</v>
      </c>
      <c r="I749" s="15">
        <v>1225091931</v>
      </c>
      <c r="J749" s="16" t="s">
        <v>2249</v>
      </c>
      <c r="K749" s="17">
        <v>1</v>
      </c>
      <c r="L749" s="18" t="s">
        <v>44</v>
      </c>
      <c r="M749" s="19">
        <v>1400000</v>
      </c>
      <c r="N749" s="19">
        <v>0</v>
      </c>
      <c r="O749" s="19">
        <f>K749*(M749+N749)*4</f>
        <v>5600000</v>
      </c>
      <c r="P749" s="17" t="s">
        <v>45</v>
      </c>
      <c r="R749" s="31"/>
    </row>
    <row r="750" spans="1:18" x14ac:dyDescent="0.3">
      <c r="A750" s="9" t="s">
        <v>1291</v>
      </c>
      <c r="B750" s="10" t="s">
        <v>2259</v>
      </c>
      <c r="C750" s="11" t="s">
        <v>2260</v>
      </c>
      <c r="D750" s="12">
        <v>44012</v>
      </c>
      <c r="E750" s="12">
        <v>44013</v>
      </c>
      <c r="F750" s="13">
        <v>5600000</v>
      </c>
      <c r="G750" s="14">
        <v>0</v>
      </c>
      <c r="H750" s="9" t="s">
        <v>2261</v>
      </c>
      <c r="I750" s="15">
        <v>1088029405</v>
      </c>
      <c r="J750" s="16" t="s">
        <v>2314</v>
      </c>
      <c r="K750" s="17">
        <v>1</v>
      </c>
      <c r="L750" s="18" t="s">
        <v>44</v>
      </c>
      <c r="M750" s="19">
        <v>1400000</v>
      </c>
      <c r="N750" s="19">
        <v>0</v>
      </c>
      <c r="O750" s="19">
        <f>K750*(M750+N750)*4</f>
        <v>5600000</v>
      </c>
      <c r="P750" s="17" t="s">
        <v>45</v>
      </c>
      <c r="R750" s="31"/>
    </row>
    <row r="751" spans="1:18" x14ac:dyDescent="0.3">
      <c r="A751" s="9" t="s">
        <v>1291</v>
      </c>
      <c r="B751" s="10" t="s">
        <v>2262</v>
      </c>
      <c r="C751" s="11" t="s">
        <v>2249</v>
      </c>
      <c r="D751" s="12">
        <v>44012</v>
      </c>
      <c r="E751" s="12">
        <v>44013</v>
      </c>
      <c r="F751" s="13">
        <v>5600000</v>
      </c>
      <c r="G751" s="14">
        <v>0</v>
      </c>
      <c r="H751" s="9" t="s">
        <v>2263</v>
      </c>
      <c r="I751" s="15">
        <v>1088020643</v>
      </c>
      <c r="J751" s="16" t="s">
        <v>2313</v>
      </c>
      <c r="K751" s="17">
        <v>1</v>
      </c>
      <c r="L751" s="18" t="s">
        <v>44</v>
      </c>
      <c r="M751" s="19">
        <v>1400000</v>
      </c>
      <c r="N751" s="19">
        <v>0</v>
      </c>
      <c r="O751" s="19">
        <f>K751*(M751+N751)*4</f>
        <v>5600000</v>
      </c>
      <c r="P751" s="17" t="s">
        <v>45</v>
      </c>
      <c r="R751" s="31"/>
    </row>
    <row r="752" spans="1:18" x14ac:dyDescent="0.3">
      <c r="A752" s="9" t="s">
        <v>1291</v>
      </c>
      <c r="B752" s="10" t="s">
        <v>2264</v>
      </c>
      <c r="C752" s="11" t="s">
        <v>2249</v>
      </c>
      <c r="D752" s="12">
        <v>44012</v>
      </c>
      <c r="E752" s="12">
        <v>44013</v>
      </c>
      <c r="F752" s="13">
        <v>5600000</v>
      </c>
      <c r="G752" s="14">
        <v>0</v>
      </c>
      <c r="H752" s="9" t="s">
        <v>2265</v>
      </c>
      <c r="I752" s="15">
        <v>1086279500</v>
      </c>
      <c r="J752" s="16" t="s">
        <v>2249</v>
      </c>
      <c r="K752" s="17">
        <v>1</v>
      </c>
      <c r="L752" s="18" t="s">
        <v>44</v>
      </c>
      <c r="M752" s="19">
        <v>1400000</v>
      </c>
      <c r="N752" s="19">
        <v>0</v>
      </c>
      <c r="O752" s="19">
        <f>K752*(M752+N752)*4</f>
        <v>5600000</v>
      </c>
      <c r="P752" s="17" t="s">
        <v>45</v>
      </c>
      <c r="R752" s="31"/>
    </row>
    <row r="753" spans="1:18" x14ac:dyDescent="0.3">
      <c r="A753" s="9" t="s">
        <v>1291</v>
      </c>
      <c r="B753" s="10" t="s">
        <v>2266</v>
      </c>
      <c r="C753" s="11" t="s">
        <v>2249</v>
      </c>
      <c r="D753" s="12">
        <v>44012</v>
      </c>
      <c r="E753" s="12">
        <v>44013</v>
      </c>
      <c r="F753" s="13">
        <v>5600000</v>
      </c>
      <c r="G753" s="14">
        <v>0</v>
      </c>
      <c r="H753" s="9" t="s">
        <v>2267</v>
      </c>
      <c r="I753" s="15">
        <v>1004994981</v>
      </c>
      <c r="J753" s="16" t="s">
        <v>2313</v>
      </c>
      <c r="K753" s="17">
        <v>1</v>
      </c>
      <c r="L753" s="18" t="s">
        <v>44</v>
      </c>
      <c r="M753" s="19">
        <v>1400000</v>
      </c>
      <c r="N753" s="19">
        <v>0</v>
      </c>
      <c r="O753" s="19">
        <f>K753*(M753+N753)*4</f>
        <v>5600000</v>
      </c>
      <c r="P753" s="17" t="s">
        <v>45</v>
      </c>
      <c r="R753" s="31"/>
    </row>
    <row r="754" spans="1:18" x14ac:dyDescent="0.3">
      <c r="A754" s="9" t="s">
        <v>1291</v>
      </c>
      <c r="B754" s="10" t="s">
        <v>2268</v>
      </c>
      <c r="C754" s="11" t="s">
        <v>2249</v>
      </c>
      <c r="D754" s="12">
        <v>44012</v>
      </c>
      <c r="E754" s="12">
        <v>44013</v>
      </c>
      <c r="F754" s="13">
        <v>5600000</v>
      </c>
      <c r="G754" s="14">
        <v>0</v>
      </c>
      <c r="H754" s="9" t="s">
        <v>2269</v>
      </c>
      <c r="I754" s="15">
        <v>1089747129</v>
      </c>
      <c r="J754" s="16" t="s">
        <v>2249</v>
      </c>
      <c r="K754" s="17">
        <v>1</v>
      </c>
      <c r="L754" s="18" t="s">
        <v>44</v>
      </c>
      <c r="M754" s="19">
        <v>1400000</v>
      </c>
      <c r="N754" s="19">
        <v>0</v>
      </c>
      <c r="O754" s="19">
        <f>K754*(M754+N754)*4</f>
        <v>5600000</v>
      </c>
      <c r="P754" s="17" t="s">
        <v>45</v>
      </c>
      <c r="R754" s="31"/>
    </row>
    <row r="755" spans="1:18" x14ac:dyDescent="0.3">
      <c r="A755" s="9" t="s">
        <v>1291</v>
      </c>
      <c r="B755" s="10" t="s">
        <v>2270</v>
      </c>
      <c r="C755" s="11" t="s">
        <v>2249</v>
      </c>
      <c r="D755" s="12">
        <v>44012</v>
      </c>
      <c r="E755" s="12">
        <v>44013</v>
      </c>
      <c r="F755" s="13">
        <v>5600000</v>
      </c>
      <c r="G755" s="14">
        <v>0</v>
      </c>
      <c r="H755" s="9" t="s">
        <v>2271</v>
      </c>
      <c r="I755" s="15">
        <v>1087493203</v>
      </c>
      <c r="J755" s="16" t="s">
        <v>2313</v>
      </c>
      <c r="K755" s="17">
        <v>1</v>
      </c>
      <c r="L755" s="18" t="s">
        <v>44</v>
      </c>
      <c r="M755" s="19">
        <v>1400000</v>
      </c>
      <c r="N755" s="19">
        <v>0</v>
      </c>
      <c r="O755" s="19">
        <f>K755*(M755+N755)*4</f>
        <v>5600000</v>
      </c>
      <c r="P755" s="17" t="s">
        <v>45</v>
      </c>
      <c r="R755" s="31"/>
    </row>
    <row r="756" spans="1:18" x14ac:dyDescent="0.3">
      <c r="A756" s="9" t="s">
        <v>1291</v>
      </c>
      <c r="B756" s="10" t="s">
        <v>2272</v>
      </c>
      <c r="C756" s="11" t="s">
        <v>2249</v>
      </c>
      <c r="D756" s="12">
        <v>44012</v>
      </c>
      <c r="E756" s="12">
        <v>44013</v>
      </c>
      <c r="F756" s="13">
        <v>5600000</v>
      </c>
      <c r="G756" s="14">
        <v>0</v>
      </c>
      <c r="H756" s="9" t="s">
        <v>2273</v>
      </c>
      <c r="I756" s="15">
        <v>18607789</v>
      </c>
      <c r="J756" s="16" t="s">
        <v>2249</v>
      </c>
      <c r="K756" s="17">
        <v>1</v>
      </c>
      <c r="L756" s="18" t="s">
        <v>44</v>
      </c>
      <c r="M756" s="19">
        <v>1400000</v>
      </c>
      <c r="N756" s="19">
        <v>0</v>
      </c>
      <c r="O756" s="19">
        <f>K756*(M756+N756)*4</f>
        <v>5600000</v>
      </c>
      <c r="P756" s="17" t="s">
        <v>45</v>
      </c>
      <c r="R756" s="31"/>
    </row>
    <row r="757" spans="1:18" x14ac:dyDescent="0.3">
      <c r="A757" s="9" t="s">
        <v>1291</v>
      </c>
      <c r="B757" s="10" t="s">
        <v>2274</v>
      </c>
      <c r="C757" s="11" t="s">
        <v>2275</v>
      </c>
      <c r="D757" s="12">
        <v>44012</v>
      </c>
      <c r="E757" s="12">
        <v>44013</v>
      </c>
      <c r="F757" s="13">
        <v>11200000</v>
      </c>
      <c r="G757" s="14">
        <v>0</v>
      </c>
      <c r="H757" s="9" t="s">
        <v>2276</v>
      </c>
      <c r="I757" s="15">
        <v>1088301527</v>
      </c>
      <c r="J757" s="16" t="s">
        <v>2312</v>
      </c>
      <c r="K757" s="17">
        <v>1</v>
      </c>
      <c r="L757" s="18" t="s">
        <v>44</v>
      </c>
      <c r="M757" s="19">
        <f>11200000/4</f>
        <v>2800000</v>
      </c>
      <c r="N757" s="19">
        <v>0</v>
      </c>
      <c r="O757" s="19">
        <f>K757*(M757+N757)*4</f>
        <v>11200000</v>
      </c>
      <c r="P757" s="17" t="s">
        <v>45</v>
      </c>
      <c r="R757" s="31"/>
    </row>
    <row r="758" spans="1:18" x14ac:dyDescent="0.3">
      <c r="A758" s="9" t="s">
        <v>1291</v>
      </c>
      <c r="B758" s="10" t="s">
        <v>2277</v>
      </c>
      <c r="C758" s="11" t="s">
        <v>2249</v>
      </c>
      <c r="D758" s="12">
        <v>44012</v>
      </c>
      <c r="E758" s="12">
        <v>44013</v>
      </c>
      <c r="F758" s="13">
        <v>5600000</v>
      </c>
      <c r="G758" s="14">
        <v>0</v>
      </c>
      <c r="H758" s="9" t="s">
        <v>2278</v>
      </c>
      <c r="I758" s="15">
        <v>1004688602</v>
      </c>
      <c r="J758" s="16" t="s">
        <v>2249</v>
      </c>
      <c r="K758" s="17">
        <v>1</v>
      </c>
      <c r="L758" s="18" t="s">
        <v>44</v>
      </c>
      <c r="M758" s="19">
        <v>1400000</v>
      </c>
      <c r="N758" s="19">
        <v>0</v>
      </c>
      <c r="O758" s="19">
        <f>K758*(M758+N758)*4</f>
        <v>5600000</v>
      </c>
      <c r="P758" s="17" t="s">
        <v>45</v>
      </c>
      <c r="R758" s="31"/>
    </row>
    <row r="759" spans="1:18" x14ac:dyDescent="0.3">
      <c r="A759" s="9" t="s">
        <v>1291</v>
      </c>
      <c r="B759" s="10" t="s">
        <v>2279</v>
      </c>
      <c r="C759" s="11" t="s">
        <v>2249</v>
      </c>
      <c r="D759" s="12">
        <v>44012</v>
      </c>
      <c r="E759" s="12">
        <v>44013</v>
      </c>
      <c r="F759" s="13">
        <v>5600000</v>
      </c>
      <c r="G759" s="14">
        <v>0</v>
      </c>
      <c r="H759" s="9" t="s">
        <v>2280</v>
      </c>
      <c r="I759" s="15">
        <v>1010072086</v>
      </c>
      <c r="J759" s="16" t="s">
        <v>2313</v>
      </c>
      <c r="K759" s="17">
        <v>1</v>
      </c>
      <c r="L759" s="18" t="s">
        <v>44</v>
      </c>
      <c r="M759" s="19">
        <v>1400000</v>
      </c>
      <c r="N759" s="19">
        <v>0</v>
      </c>
      <c r="O759" s="19">
        <f>K759*(M759+N759)*4</f>
        <v>5600000</v>
      </c>
      <c r="P759" s="17" t="s">
        <v>45</v>
      </c>
      <c r="R759" s="31"/>
    </row>
    <row r="760" spans="1:18" x14ac:dyDescent="0.3">
      <c r="A760" s="9" t="s">
        <v>1291</v>
      </c>
      <c r="B760" s="10" t="s">
        <v>2281</v>
      </c>
      <c r="C760" s="11" t="s">
        <v>2282</v>
      </c>
      <c r="D760" s="12">
        <v>44013</v>
      </c>
      <c r="E760" s="12">
        <v>44020</v>
      </c>
      <c r="F760" s="13">
        <v>5600000</v>
      </c>
      <c r="G760" s="14">
        <v>0</v>
      </c>
      <c r="H760" s="9" t="s">
        <v>2283</v>
      </c>
      <c r="I760" s="15">
        <v>1088537971</v>
      </c>
      <c r="J760" s="16" t="s">
        <v>2282</v>
      </c>
      <c r="K760" s="17">
        <v>1</v>
      </c>
      <c r="L760" s="18" t="s">
        <v>44</v>
      </c>
      <c r="M760" s="19">
        <f>5600000/4</f>
        <v>1400000</v>
      </c>
      <c r="N760" s="19">
        <v>0</v>
      </c>
      <c r="O760" s="19">
        <f>K760*(M760+N760)*4</f>
        <v>5600000</v>
      </c>
      <c r="P760" s="17" t="s">
        <v>45</v>
      </c>
      <c r="R760" s="31"/>
    </row>
    <row r="761" spans="1:18" x14ac:dyDescent="0.3">
      <c r="A761" s="9" t="s">
        <v>1291</v>
      </c>
      <c r="B761" s="10" t="s">
        <v>2284</v>
      </c>
      <c r="C761" s="11" t="s">
        <v>2285</v>
      </c>
      <c r="D761" s="12">
        <v>44013</v>
      </c>
      <c r="E761" s="12">
        <v>44018</v>
      </c>
      <c r="F761" s="13">
        <v>5600000</v>
      </c>
      <c r="G761" s="14">
        <v>0</v>
      </c>
      <c r="H761" s="9" t="s">
        <v>2286</v>
      </c>
      <c r="I761" s="15">
        <v>1144187232</v>
      </c>
      <c r="J761" s="16" t="s">
        <v>2285</v>
      </c>
      <c r="K761" s="17">
        <v>1</v>
      </c>
      <c r="L761" s="18" t="s">
        <v>44</v>
      </c>
      <c r="M761" s="19">
        <v>1400000</v>
      </c>
      <c r="N761" s="19">
        <v>0</v>
      </c>
      <c r="O761" s="19">
        <f>K761*(M761+N761)*4</f>
        <v>5600000</v>
      </c>
      <c r="P761" s="17" t="s">
        <v>45</v>
      </c>
      <c r="R761" s="31"/>
    </row>
    <row r="762" spans="1:18" x14ac:dyDescent="0.3">
      <c r="A762" s="9" t="s">
        <v>1291</v>
      </c>
      <c r="B762" s="10" t="s">
        <v>2287</v>
      </c>
      <c r="C762" s="11" t="s">
        <v>2288</v>
      </c>
      <c r="D762" s="12">
        <v>44014</v>
      </c>
      <c r="E762" s="12">
        <v>44020</v>
      </c>
      <c r="F762" s="13">
        <v>5600000</v>
      </c>
      <c r="G762" s="14">
        <v>0</v>
      </c>
      <c r="H762" s="9" t="s">
        <v>2289</v>
      </c>
      <c r="I762" s="15">
        <v>1007220451</v>
      </c>
      <c r="J762" s="16" t="s">
        <v>2288</v>
      </c>
      <c r="K762" s="17">
        <v>1</v>
      </c>
      <c r="L762" s="18" t="s">
        <v>44</v>
      </c>
      <c r="M762" s="19">
        <v>1400000</v>
      </c>
      <c r="N762" s="19">
        <v>0</v>
      </c>
      <c r="O762" s="19">
        <f>K762*(M762+N762)*4</f>
        <v>5600000</v>
      </c>
      <c r="P762" s="17" t="s">
        <v>45</v>
      </c>
      <c r="R762" s="31"/>
    </row>
    <row r="763" spans="1:18" x14ac:dyDescent="0.3">
      <c r="A763" s="9" t="s">
        <v>1291</v>
      </c>
      <c r="B763" s="10" t="s">
        <v>2290</v>
      </c>
      <c r="C763" s="11" t="s">
        <v>2291</v>
      </c>
      <c r="D763" s="12">
        <v>44014</v>
      </c>
      <c r="E763" s="12">
        <v>44021</v>
      </c>
      <c r="F763" s="13">
        <v>5600000</v>
      </c>
      <c r="G763" s="14">
        <v>0</v>
      </c>
      <c r="H763" s="9" t="s">
        <v>2292</v>
      </c>
      <c r="I763" s="15">
        <v>1087488224</v>
      </c>
      <c r="J763" s="16" t="s">
        <v>2291</v>
      </c>
      <c r="K763" s="17">
        <v>1</v>
      </c>
      <c r="L763" s="18" t="s">
        <v>44</v>
      </c>
      <c r="M763" s="19">
        <v>1400000</v>
      </c>
      <c r="N763" s="19">
        <v>0</v>
      </c>
      <c r="O763" s="19">
        <f>K763*(M763+N763)*4</f>
        <v>5600000</v>
      </c>
      <c r="P763" s="17" t="s">
        <v>45</v>
      </c>
      <c r="R763" s="31"/>
    </row>
    <row r="764" spans="1:18" x14ac:dyDescent="0.3">
      <c r="A764" s="9" t="s">
        <v>1291</v>
      </c>
      <c r="B764" s="10" t="s">
        <v>2293</v>
      </c>
      <c r="C764" s="11" t="s">
        <v>2294</v>
      </c>
      <c r="D764" s="12">
        <v>44140</v>
      </c>
      <c r="E764" s="12">
        <v>44141</v>
      </c>
      <c r="F764" s="13">
        <v>2566667</v>
      </c>
      <c r="G764" s="14">
        <v>0</v>
      </c>
      <c r="H764" s="9" t="s">
        <v>2295</v>
      </c>
      <c r="I764" s="15">
        <v>1114208285</v>
      </c>
      <c r="J764" s="16" t="s">
        <v>2294</v>
      </c>
      <c r="K764" s="17">
        <v>2</v>
      </c>
      <c r="L764" s="18" t="s">
        <v>44</v>
      </c>
      <c r="M764" s="19">
        <f>2566668/2</f>
        <v>1283334</v>
      </c>
      <c r="N764" s="19">
        <v>0</v>
      </c>
      <c r="O764" s="19">
        <f>K764*(M764+N764)</f>
        <v>2566668</v>
      </c>
      <c r="P764" s="17" t="s">
        <v>45</v>
      </c>
      <c r="R764" s="31"/>
    </row>
    <row r="765" spans="1:18" x14ac:dyDescent="0.3">
      <c r="A765" s="9" t="s">
        <v>1291</v>
      </c>
      <c r="B765" s="10" t="s">
        <v>2296</v>
      </c>
      <c r="C765" s="11" t="s">
        <v>2294</v>
      </c>
      <c r="D765" s="12">
        <v>44134</v>
      </c>
      <c r="E765" s="12">
        <v>44141</v>
      </c>
      <c r="F765" s="13">
        <v>2566667</v>
      </c>
      <c r="G765" s="14">
        <v>0</v>
      </c>
      <c r="H765" s="9" t="s">
        <v>2297</v>
      </c>
      <c r="I765" s="15">
        <v>1037613273</v>
      </c>
      <c r="J765" s="16" t="s">
        <v>2294</v>
      </c>
      <c r="K765" s="17">
        <v>2</v>
      </c>
      <c r="L765" s="18" t="s">
        <v>44</v>
      </c>
      <c r="M765" s="19">
        <v>1283334</v>
      </c>
      <c r="N765" s="19">
        <v>0</v>
      </c>
      <c r="O765" s="19">
        <f>K765*(M765+N765)</f>
        <v>2566668</v>
      </c>
      <c r="P765" s="17" t="s">
        <v>45</v>
      </c>
      <c r="R765" s="31"/>
    </row>
    <row r="766" spans="1:18" x14ac:dyDescent="0.3">
      <c r="A766" s="9" t="s">
        <v>1291</v>
      </c>
      <c r="B766" s="10" t="s">
        <v>2298</v>
      </c>
      <c r="C766" s="11" t="s">
        <v>2299</v>
      </c>
      <c r="D766" s="12">
        <v>44188</v>
      </c>
      <c r="E766" s="12">
        <v>44188</v>
      </c>
      <c r="F766" s="13">
        <f>6038250*7</f>
        <v>42267750</v>
      </c>
      <c r="G766" s="14">
        <v>6038250</v>
      </c>
      <c r="H766" s="9" t="s">
        <v>2300</v>
      </c>
      <c r="I766" s="15">
        <v>811044610</v>
      </c>
      <c r="J766" s="16" t="s">
        <v>2311</v>
      </c>
      <c r="K766" s="17">
        <v>8</v>
      </c>
      <c r="L766" s="18" t="s">
        <v>21</v>
      </c>
      <c r="M766" s="19">
        <v>6038250</v>
      </c>
      <c r="N766" s="19">
        <v>0</v>
      </c>
      <c r="O766" s="19">
        <f>K766*(M766+N766)</f>
        <v>48306000</v>
      </c>
      <c r="P766" s="17" t="s">
        <v>2301</v>
      </c>
      <c r="R766" s="31"/>
    </row>
    <row r="767" spans="1:18" x14ac:dyDescent="0.3">
      <c r="A767" s="9" t="s">
        <v>1291</v>
      </c>
      <c r="B767" s="10">
        <v>49697</v>
      </c>
      <c r="C767" s="11" t="s">
        <v>2302</v>
      </c>
      <c r="D767" s="12">
        <v>43984</v>
      </c>
      <c r="E767" s="12">
        <v>43984</v>
      </c>
      <c r="F767" s="13">
        <v>59664948</v>
      </c>
      <c r="G767" s="14">
        <v>0</v>
      </c>
      <c r="H767" s="9" t="s">
        <v>346</v>
      </c>
      <c r="I767" s="15">
        <v>890900943</v>
      </c>
      <c r="J767" s="16" t="s">
        <v>2302</v>
      </c>
      <c r="K767" s="17">
        <v>42</v>
      </c>
      <c r="L767" s="18" t="s">
        <v>21</v>
      </c>
      <c r="M767" s="19">
        <v>1420594</v>
      </c>
      <c r="N767" s="19">
        <v>0</v>
      </c>
      <c r="O767" s="19">
        <f>K767*(M767+N767)</f>
        <v>59664948</v>
      </c>
      <c r="P767" s="17" t="s">
        <v>65</v>
      </c>
      <c r="R767" s="31"/>
    </row>
    <row r="768" spans="1:18" x14ac:dyDescent="0.3">
      <c r="A768" s="9" t="s">
        <v>1306</v>
      </c>
      <c r="B768" s="10" t="s">
        <v>1307</v>
      </c>
      <c r="C768" s="11" t="s">
        <v>1308</v>
      </c>
      <c r="D768" s="12">
        <v>43994</v>
      </c>
      <c r="E768" s="12">
        <v>43999</v>
      </c>
      <c r="F768" s="13">
        <v>32430000</v>
      </c>
      <c r="G768" s="14">
        <v>0</v>
      </c>
      <c r="H768" s="9" t="s">
        <v>1309</v>
      </c>
      <c r="I768" s="15">
        <v>891500595</v>
      </c>
      <c r="J768" s="16" t="s">
        <v>1310</v>
      </c>
      <c r="K768" s="17">
        <v>15</v>
      </c>
      <c r="L768" s="18" t="s">
        <v>44</v>
      </c>
      <c r="M768" s="19">
        <v>2162000</v>
      </c>
      <c r="N768" s="19">
        <v>0</v>
      </c>
      <c r="O768" s="19">
        <f t="shared" si="46"/>
        <v>32430000</v>
      </c>
      <c r="P768" s="17" t="s">
        <v>45</v>
      </c>
      <c r="R768" s="31"/>
    </row>
    <row r="769" spans="1:18" x14ac:dyDescent="0.3">
      <c r="A769" s="9" t="s">
        <v>1306</v>
      </c>
      <c r="B769" s="10" t="s">
        <v>1311</v>
      </c>
      <c r="C769" s="11" t="s">
        <v>1312</v>
      </c>
      <c r="D769" s="12">
        <v>43994</v>
      </c>
      <c r="E769" s="12">
        <v>43994</v>
      </c>
      <c r="F769" s="13">
        <v>45932000</v>
      </c>
      <c r="G769" s="14">
        <v>0</v>
      </c>
      <c r="H769" s="9" t="s">
        <v>1313</v>
      </c>
      <c r="I769" s="15">
        <v>1083893865</v>
      </c>
      <c r="J769" s="16" t="s">
        <v>1314</v>
      </c>
      <c r="K769" s="17">
        <v>119</v>
      </c>
      <c r="L769" s="18" t="s">
        <v>21</v>
      </c>
      <c r="M769" s="19">
        <v>124369.74789915967</v>
      </c>
      <c r="N769" s="19">
        <f t="shared" si="49"/>
        <v>23630.252100840338</v>
      </c>
      <c r="O769" s="19">
        <f t="shared" si="46"/>
        <v>17612000</v>
      </c>
      <c r="P769" s="17" t="s">
        <v>120</v>
      </c>
      <c r="R769" s="31"/>
    </row>
    <row r="770" spans="1:18" x14ac:dyDescent="0.3">
      <c r="A770" s="9" t="s">
        <v>1306</v>
      </c>
      <c r="B770" s="10" t="s">
        <v>1311</v>
      </c>
      <c r="C770" s="11" t="s">
        <v>1312</v>
      </c>
      <c r="D770" s="12">
        <v>43994</v>
      </c>
      <c r="E770" s="12">
        <v>43994</v>
      </c>
      <c r="F770" s="13">
        <v>45932000</v>
      </c>
      <c r="G770" s="14">
        <v>0</v>
      </c>
      <c r="H770" s="9" t="s">
        <v>1313</v>
      </c>
      <c r="I770" s="15">
        <v>1083893865</v>
      </c>
      <c r="J770" s="16" t="s">
        <v>1315</v>
      </c>
      <c r="K770" s="17">
        <v>118</v>
      </c>
      <c r="L770" s="18" t="s">
        <v>21</v>
      </c>
      <c r="M770" s="19">
        <v>201680.67226890757</v>
      </c>
      <c r="N770" s="19">
        <f t="shared" si="49"/>
        <v>38319.327731092439</v>
      </c>
      <c r="O770" s="19">
        <f t="shared" si="46"/>
        <v>28320000</v>
      </c>
      <c r="P770" s="16" t="s">
        <v>119</v>
      </c>
      <c r="R770" s="31"/>
    </row>
    <row r="771" spans="1:18" x14ac:dyDescent="0.3">
      <c r="A771" s="9" t="s">
        <v>1306</v>
      </c>
      <c r="B771" s="10" t="s">
        <v>1316</v>
      </c>
      <c r="C771" s="11" t="s">
        <v>1317</v>
      </c>
      <c r="D771" s="12">
        <v>44005</v>
      </c>
      <c r="E771" s="12">
        <v>44005</v>
      </c>
      <c r="F771" s="13">
        <v>7000000</v>
      </c>
      <c r="G771" s="14">
        <v>0</v>
      </c>
      <c r="H771" s="9" t="s">
        <v>1318</v>
      </c>
      <c r="I771" s="15">
        <v>800165853</v>
      </c>
      <c r="J771" s="16" t="s">
        <v>328</v>
      </c>
      <c r="K771" s="17">
        <v>80</v>
      </c>
      <c r="L771" s="18" t="s">
        <v>21</v>
      </c>
      <c r="M771" s="19">
        <v>40500</v>
      </c>
      <c r="N771" s="19">
        <v>0</v>
      </c>
      <c r="O771" s="19">
        <f t="shared" si="46"/>
        <v>3240000</v>
      </c>
      <c r="P771" s="17" t="s">
        <v>328</v>
      </c>
      <c r="R771" s="31"/>
    </row>
    <row r="772" spans="1:18" x14ac:dyDescent="0.3">
      <c r="A772" s="9" t="s">
        <v>1306</v>
      </c>
      <c r="B772" s="10" t="s">
        <v>1316</v>
      </c>
      <c r="C772" s="11" t="s">
        <v>1317</v>
      </c>
      <c r="D772" s="12">
        <v>44005</v>
      </c>
      <c r="E772" s="12">
        <v>44005</v>
      </c>
      <c r="F772" s="13">
        <v>7000000</v>
      </c>
      <c r="G772" s="14">
        <v>0</v>
      </c>
      <c r="H772" s="9" t="s">
        <v>1318</v>
      </c>
      <c r="I772" s="15">
        <v>800165853</v>
      </c>
      <c r="J772" s="16" t="s">
        <v>1083</v>
      </c>
      <c r="K772" s="17">
        <v>800</v>
      </c>
      <c r="L772" s="18" t="s">
        <v>471</v>
      </c>
      <c r="M772" s="19">
        <v>4700</v>
      </c>
      <c r="N772" s="19">
        <v>0</v>
      </c>
      <c r="O772" s="19">
        <f t="shared" si="46"/>
        <v>3760000</v>
      </c>
      <c r="P772" s="16" t="s">
        <v>647</v>
      </c>
      <c r="R772" s="31"/>
    </row>
    <row r="773" spans="1:18" x14ac:dyDescent="0.3">
      <c r="A773" s="9" t="s">
        <v>1306</v>
      </c>
      <c r="B773" s="10" t="s">
        <v>1319</v>
      </c>
      <c r="C773" s="11" t="s">
        <v>1320</v>
      </c>
      <c r="D773" s="12">
        <v>44005</v>
      </c>
      <c r="E773" s="12">
        <v>44005</v>
      </c>
      <c r="F773" s="13">
        <v>32130000</v>
      </c>
      <c r="G773" s="14">
        <v>0</v>
      </c>
      <c r="H773" s="9" t="s">
        <v>1321</v>
      </c>
      <c r="I773" s="15">
        <v>79391917</v>
      </c>
      <c r="J773" s="16" t="s">
        <v>1322</v>
      </c>
      <c r="K773" s="17">
        <v>200</v>
      </c>
      <c r="L773" s="18" t="s">
        <v>21</v>
      </c>
      <c r="M773" s="19">
        <v>135000</v>
      </c>
      <c r="N773" s="19">
        <f>M773*0.19</f>
        <v>25650</v>
      </c>
      <c r="O773" s="19">
        <f t="shared" si="46"/>
        <v>32130000</v>
      </c>
      <c r="P773" s="17" t="s">
        <v>87</v>
      </c>
      <c r="R773" s="31"/>
    </row>
    <row r="774" spans="1:18" x14ac:dyDescent="0.3">
      <c r="A774" s="9" t="s">
        <v>1306</v>
      </c>
      <c r="B774" s="10" t="s">
        <v>1323</v>
      </c>
      <c r="C774" s="11" t="s">
        <v>1324</v>
      </c>
      <c r="D774" s="12">
        <v>44001</v>
      </c>
      <c r="E774" s="12">
        <v>44001</v>
      </c>
      <c r="F774" s="13">
        <v>1515800</v>
      </c>
      <c r="G774" s="14">
        <v>0</v>
      </c>
      <c r="H774" s="9" t="s">
        <v>1325</v>
      </c>
      <c r="I774" s="15">
        <v>76318532</v>
      </c>
      <c r="J774" s="16" t="s">
        <v>1326</v>
      </c>
      <c r="K774" s="17">
        <v>332</v>
      </c>
      <c r="L774" s="18" t="s">
        <v>21</v>
      </c>
      <c r="M774" s="19">
        <v>1400</v>
      </c>
      <c r="N774" s="19">
        <v>0</v>
      </c>
      <c r="O774" s="19">
        <f t="shared" si="46"/>
        <v>464800</v>
      </c>
      <c r="P774" s="17" t="s">
        <v>257</v>
      </c>
      <c r="R774" s="31"/>
    </row>
    <row r="775" spans="1:18" x14ac:dyDescent="0.3">
      <c r="A775" s="9" t="s">
        <v>1306</v>
      </c>
      <c r="B775" s="10" t="s">
        <v>1323</v>
      </c>
      <c r="C775" s="11" t="s">
        <v>1324</v>
      </c>
      <c r="D775" s="12">
        <v>44001</v>
      </c>
      <c r="E775" s="12">
        <v>44001</v>
      </c>
      <c r="F775" s="13">
        <v>1515800</v>
      </c>
      <c r="G775" s="14">
        <v>0</v>
      </c>
      <c r="H775" s="9" t="s">
        <v>1325</v>
      </c>
      <c r="I775" s="15">
        <v>76318532</v>
      </c>
      <c r="J775" s="16" t="s">
        <v>1327</v>
      </c>
      <c r="K775" s="17">
        <v>106</v>
      </c>
      <c r="L775" s="18" t="s">
        <v>21</v>
      </c>
      <c r="M775" s="19">
        <v>1896.2264150943399</v>
      </c>
      <c r="N775" s="19">
        <v>0</v>
      </c>
      <c r="O775" s="19">
        <f t="shared" si="46"/>
        <v>201000.00000000003</v>
      </c>
      <c r="P775" s="17" t="s">
        <v>257</v>
      </c>
      <c r="R775" s="31"/>
    </row>
    <row r="776" spans="1:18" x14ac:dyDescent="0.3">
      <c r="A776" s="9" t="s">
        <v>1306</v>
      </c>
      <c r="B776" s="10" t="s">
        <v>1323</v>
      </c>
      <c r="C776" s="11" t="s">
        <v>1324</v>
      </c>
      <c r="D776" s="12">
        <v>44001</v>
      </c>
      <c r="E776" s="12">
        <v>44001</v>
      </c>
      <c r="F776" s="13">
        <v>1515800</v>
      </c>
      <c r="G776" s="14">
        <v>0</v>
      </c>
      <c r="H776" s="9" t="s">
        <v>1325</v>
      </c>
      <c r="I776" s="15">
        <v>76318532</v>
      </c>
      <c r="J776" s="16" t="s">
        <v>1328</v>
      </c>
      <c r="K776" s="17">
        <v>500</v>
      </c>
      <c r="L776" s="18" t="s">
        <v>21</v>
      </c>
      <c r="M776" s="19">
        <v>1700</v>
      </c>
      <c r="N776" s="19">
        <v>0</v>
      </c>
      <c r="O776" s="19">
        <f t="shared" si="46"/>
        <v>850000</v>
      </c>
      <c r="P776" s="17" t="s">
        <v>257</v>
      </c>
      <c r="R776" s="31"/>
    </row>
    <row r="777" spans="1:18" x14ac:dyDescent="0.3">
      <c r="A777" s="9" t="s">
        <v>1306</v>
      </c>
      <c r="B777" s="10" t="s">
        <v>1329</v>
      </c>
      <c r="C777" s="11" t="s">
        <v>1330</v>
      </c>
      <c r="D777" s="12">
        <v>43917</v>
      </c>
      <c r="E777" s="12">
        <v>43910</v>
      </c>
      <c r="F777" s="13">
        <v>1911550</v>
      </c>
      <c r="G777" s="14">
        <v>0</v>
      </c>
      <c r="H777" s="9" t="s">
        <v>1331</v>
      </c>
      <c r="I777" s="15">
        <v>12109146</v>
      </c>
      <c r="J777" s="16" t="s">
        <v>1332</v>
      </c>
      <c r="K777" s="46">
        <v>36</v>
      </c>
      <c r="L777" s="18" t="s">
        <v>36</v>
      </c>
      <c r="M777" s="19">
        <v>6638.6554621848745</v>
      </c>
      <c r="N777" s="19">
        <f t="shared" ref="N777:N782" si="55">M777*0.19</f>
        <v>1261.3445378151262</v>
      </c>
      <c r="O777" s="19">
        <f t="shared" si="46"/>
        <v>284400.00000000006</v>
      </c>
      <c r="P777" s="17" t="s">
        <v>39</v>
      </c>
      <c r="R777" s="31"/>
    </row>
    <row r="778" spans="1:18" x14ac:dyDescent="0.3">
      <c r="A778" s="9" t="s">
        <v>1306</v>
      </c>
      <c r="B778" s="10" t="s">
        <v>1329</v>
      </c>
      <c r="C778" s="11" t="s">
        <v>1330</v>
      </c>
      <c r="D778" s="12">
        <v>43917</v>
      </c>
      <c r="E778" s="12">
        <v>43910</v>
      </c>
      <c r="F778" s="13">
        <v>1911550</v>
      </c>
      <c r="G778" s="14">
        <v>0</v>
      </c>
      <c r="H778" s="9" t="s">
        <v>1331</v>
      </c>
      <c r="I778" s="15">
        <v>12109146</v>
      </c>
      <c r="J778" s="16" t="s">
        <v>1333</v>
      </c>
      <c r="K778" s="17">
        <v>3</v>
      </c>
      <c r="L778" s="18" t="s">
        <v>21</v>
      </c>
      <c r="M778" s="19">
        <v>62899.159663865546</v>
      </c>
      <c r="N778" s="19">
        <f t="shared" si="55"/>
        <v>11950.840336134454</v>
      </c>
      <c r="O778" s="19">
        <f t="shared" si="46"/>
        <v>224550</v>
      </c>
      <c r="P778" s="17" t="s">
        <v>82</v>
      </c>
      <c r="R778" s="31"/>
    </row>
    <row r="779" spans="1:18" x14ac:dyDescent="0.3">
      <c r="A779" s="9" t="s">
        <v>1306</v>
      </c>
      <c r="B779" s="10" t="s">
        <v>1329</v>
      </c>
      <c r="C779" s="11" t="s">
        <v>1330</v>
      </c>
      <c r="D779" s="12">
        <v>43917</v>
      </c>
      <c r="E779" s="12">
        <v>43910</v>
      </c>
      <c r="F779" s="13">
        <v>1911550</v>
      </c>
      <c r="G779" s="14">
        <v>0</v>
      </c>
      <c r="H779" s="9" t="s">
        <v>1331</v>
      </c>
      <c r="I779" s="15">
        <v>12109146</v>
      </c>
      <c r="J779" s="16" t="s">
        <v>1334</v>
      </c>
      <c r="K779" s="46">
        <v>3</v>
      </c>
      <c r="L779" s="18" t="s">
        <v>36</v>
      </c>
      <c r="M779" s="19">
        <v>41176.470588235294</v>
      </c>
      <c r="N779" s="19">
        <f t="shared" si="55"/>
        <v>7823.5294117647063</v>
      </c>
      <c r="O779" s="19">
        <f t="shared" si="46"/>
        <v>147000</v>
      </c>
      <c r="P779" s="17" t="s">
        <v>39</v>
      </c>
      <c r="R779" s="31"/>
    </row>
    <row r="780" spans="1:18" x14ac:dyDescent="0.3">
      <c r="A780" s="9" t="s">
        <v>1306</v>
      </c>
      <c r="B780" s="10" t="s">
        <v>1329</v>
      </c>
      <c r="C780" s="11" t="s">
        <v>1330</v>
      </c>
      <c r="D780" s="12">
        <v>43917</v>
      </c>
      <c r="E780" s="12">
        <v>43910</v>
      </c>
      <c r="F780" s="13">
        <v>1911550</v>
      </c>
      <c r="G780" s="14">
        <v>0</v>
      </c>
      <c r="H780" s="9" t="s">
        <v>1331</v>
      </c>
      <c r="I780" s="15">
        <v>12109146</v>
      </c>
      <c r="J780" s="16" t="s">
        <v>1335</v>
      </c>
      <c r="K780" s="17">
        <v>50</v>
      </c>
      <c r="L780" s="18" t="s">
        <v>70</v>
      </c>
      <c r="M780" s="19">
        <v>15966.6</v>
      </c>
      <c r="N780" s="19">
        <f t="shared" si="55"/>
        <v>3033.654</v>
      </c>
      <c r="O780" s="19">
        <f t="shared" si="46"/>
        <v>950012.70000000007</v>
      </c>
      <c r="P780" s="17" t="s">
        <v>145</v>
      </c>
      <c r="R780" s="31"/>
    </row>
    <row r="781" spans="1:18" x14ac:dyDescent="0.3">
      <c r="A781" s="9" t="s">
        <v>1306</v>
      </c>
      <c r="B781" s="10" t="s">
        <v>1329</v>
      </c>
      <c r="C781" s="11" t="s">
        <v>1330</v>
      </c>
      <c r="D781" s="12">
        <v>43917</v>
      </c>
      <c r="E781" s="12">
        <v>43910</v>
      </c>
      <c r="F781" s="13">
        <v>1911550</v>
      </c>
      <c r="G781" s="14">
        <v>0</v>
      </c>
      <c r="H781" s="9" t="s">
        <v>1331</v>
      </c>
      <c r="I781" s="15">
        <v>12109146</v>
      </c>
      <c r="J781" s="16" t="s">
        <v>1336</v>
      </c>
      <c r="K781" s="17">
        <v>10</v>
      </c>
      <c r="L781" s="18" t="s">
        <v>70</v>
      </c>
      <c r="M781" s="19">
        <v>15966.6</v>
      </c>
      <c r="N781" s="19">
        <f t="shared" si="55"/>
        <v>3033.654</v>
      </c>
      <c r="O781" s="19">
        <f t="shared" si="46"/>
        <v>190002.54</v>
      </c>
      <c r="P781" s="17" t="s">
        <v>145</v>
      </c>
      <c r="R781" s="31"/>
    </row>
    <row r="782" spans="1:18" x14ac:dyDescent="0.3">
      <c r="A782" s="9" t="s">
        <v>1306</v>
      </c>
      <c r="B782" s="10" t="s">
        <v>1329</v>
      </c>
      <c r="C782" s="11" t="s">
        <v>1330</v>
      </c>
      <c r="D782" s="12">
        <v>43917</v>
      </c>
      <c r="E782" s="12">
        <v>43910</v>
      </c>
      <c r="F782" s="13">
        <v>1911550</v>
      </c>
      <c r="G782" s="14">
        <v>0</v>
      </c>
      <c r="H782" s="9" t="s">
        <v>1331</v>
      </c>
      <c r="I782" s="15">
        <v>12109146</v>
      </c>
      <c r="J782" s="16" t="s">
        <v>1337</v>
      </c>
      <c r="K782" s="46">
        <v>8</v>
      </c>
      <c r="L782" s="18" t="s">
        <v>36</v>
      </c>
      <c r="M782" s="19">
        <v>12142.85714285715</v>
      </c>
      <c r="N782" s="19">
        <f t="shared" si="55"/>
        <v>2307.1428571428587</v>
      </c>
      <c r="O782" s="19">
        <f t="shared" si="46"/>
        <v>115600.00000000007</v>
      </c>
      <c r="P782" s="17" t="s">
        <v>39</v>
      </c>
      <c r="R782" s="31"/>
    </row>
    <row r="783" spans="1:18" x14ac:dyDescent="0.3">
      <c r="A783" s="9" t="s">
        <v>1306</v>
      </c>
      <c r="B783" s="10" t="s">
        <v>1338</v>
      </c>
      <c r="C783" s="11" t="s">
        <v>1339</v>
      </c>
      <c r="D783" s="12">
        <v>43917</v>
      </c>
      <c r="E783" s="12">
        <v>43917</v>
      </c>
      <c r="F783" s="13">
        <v>1832949</v>
      </c>
      <c r="G783" s="14">
        <v>0</v>
      </c>
      <c r="H783" s="9" t="s">
        <v>1340</v>
      </c>
      <c r="I783" s="15">
        <v>815004985</v>
      </c>
      <c r="J783" s="16" t="s">
        <v>1341</v>
      </c>
      <c r="K783" s="17">
        <v>21</v>
      </c>
      <c r="L783" s="18" t="s">
        <v>70</v>
      </c>
      <c r="M783" s="19">
        <v>20276</v>
      </c>
      <c r="N783" s="19">
        <v>0</v>
      </c>
      <c r="O783" s="19">
        <f t="shared" ref="O783:O834" si="56">K783*(M783+N783)</f>
        <v>425796</v>
      </c>
      <c r="P783" s="17" t="s">
        <v>145</v>
      </c>
      <c r="R783" s="31"/>
    </row>
    <row r="784" spans="1:18" x14ac:dyDescent="0.3">
      <c r="A784" s="9" t="s">
        <v>1306</v>
      </c>
      <c r="B784" s="10" t="s">
        <v>1338</v>
      </c>
      <c r="C784" s="11" t="s">
        <v>1339</v>
      </c>
      <c r="D784" s="12">
        <v>43917</v>
      </c>
      <c r="E784" s="12">
        <v>43917</v>
      </c>
      <c r="F784" s="13">
        <v>1832949</v>
      </c>
      <c r="G784" s="14">
        <v>0</v>
      </c>
      <c r="H784" s="9" t="s">
        <v>1340</v>
      </c>
      <c r="I784" s="15">
        <v>815004985</v>
      </c>
      <c r="J784" s="16" t="s">
        <v>1342</v>
      </c>
      <c r="K784" s="17">
        <v>19</v>
      </c>
      <c r="L784" s="18" t="s">
        <v>70</v>
      </c>
      <c r="M784" s="19">
        <v>20276</v>
      </c>
      <c r="N784" s="19">
        <v>0</v>
      </c>
      <c r="O784" s="19">
        <f t="shared" si="56"/>
        <v>385244</v>
      </c>
      <c r="P784" s="17" t="s">
        <v>145</v>
      </c>
      <c r="R784" s="31"/>
    </row>
    <row r="785" spans="1:18" x14ac:dyDescent="0.3">
      <c r="A785" s="9" t="s">
        <v>1306</v>
      </c>
      <c r="B785" s="10" t="s">
        <v>1338</v>
      </c>
      <c r="C785" s="11" t="s">
        <v>1339</v>
      </c>
      <c r="D785" s="12">
        <v>43917</v>
      </c>
      <c r="E785" s="12">
        <v>43917</v>
      </c>
      <c r="F785" s="13">
        <v>1832949</v>
      </c>
      <c r="G785" s="14">
        <v>0</v>
      </c>
      <c r="H785" s="9" t="s">
        <v>1340</v>
      </c>
      <c r="I785" s="15">
        <v>815004985</v>
      </c>
      <c r="J785" s="16" t="s">
        <v>1343</v>
      </c>
      <c r="K785" s="17">
        <v>1000</v>
      </c>
      <c r="L785" s="18" t="s">
        <v>21</v>
      </c>
      <c r="M785" s="19">
        <v>1021.901</v>
      </c>
      <c r="N785" s="19">
        <v>0</v>
      </c>
      <c r="O785" s="19">
        <f t="shared" si="56"/>
        <v>1021901</v>
      </c>
      <c r="P785" s="17" t="s">
        <v>31</v>
      </c>
      <c r="R785" s="31"/>
    </row>
    <row r="786" spans="1:18" x14ac:dyDescent="0.3">
      <c r="A786" s="9" t="s">
        <v>1306</v>
      </c>
      <c r="B786" s="10" t="s">
        <v>1344</v>
      </c>
      <c r="C786" s="11" t="s">
        <v>1345</v>
      </c>
      <c r="D786" s="12">
        <v>43923</v>
      </c>
      <c r="E786" s="12">
        <v>43924</v>
      </c>
      <c r="F786" s="13">
        <v>3441440</v>
      </c>
      <c r="G786" s="14">
        <v>0</v>
      </c>
      <c r="H786" s="9" t="s">
        <v>1340</v>
      </c>
      <c r="I786" s="15">
        <v>815004985</v>
      </c>
      <c r="J786" s="16" t="s">
        <v>35</v>
      </c>
      <c r="K786" s="17">
        <v>80</v>
      </c>
      <c r="L786" s="18" t="s">
        <v>36</v>
      </c>
      <c r="M786" s="19">
        <v>43018</v>
      </c>
      <c r="N786" s="19">
        <v>0</v>
      </c>
      <c r="O786" s="19">
        <f t="shared" si="56"/>
        <v>3441440</v>
      </c>
      <c r="P786" s="17" t="s">
        <v>37</v>
      </c>
      <c r="R786" s="31"/>
    </row>
    <row r="787" spans="1:18" x14ac:dyDescent="0.3">
      <c r="A787" s="9" t="s">
        <v>1306</v>
      </c>
      <c r="B787" s="10" t="s">
        <v>1346</v>
      </c>
      <c r="C787" s="11" t="s">
        <v>1339</v>
      </c>
      <c r="D787" s="12">
        <v>43924</v>
      </c>
      <c r="E787" s="12">
        <v>43925</v>
      </c>
      <c r="F787" s="13">
        <v>3050000</v>
      </c>
      <c r="G787" s="14">
        <v>0</v>
      </c>
      <c r="H787" s="9" t="s">
        <v>1347</v>
      </c>
      <c r="I787" s="15">
        <v>901285199</v>
      </c>
      <c r="J787" s="16" t="s">
        <v>1348</v>
      </c>
      <c r="K787" s="17">
        <v>100</v>
      </c>
      <c r="L787" s="18" t="s">
        <v>21</v>
      </c>
      <c r="M787" s="19">
        <v>15126</v>
      </c>
      <c r="N787" s="19">
        <f t="shared" ref="N787:N788" si="57">M787*0.19</f>
        <v>2873.94</v>
      </c>
      <c r="O787" s="19">
        <f t="shared" si="56"/>
        <v>1799993.9999999998</v>
      </c>
      <c r="P787" s="17" t="s">
        <v>22</v>
      </c>
      <c r="R787" s="31"/>
    </row>
    <row r="788" spans="1:18" x14ac:dyDescent="0.3">
      <c r="A788" s="9" t="s">
        <v>1306</v>
      </c>
      <c r="B788" s="10" t="s">
        <v>1346</v>
      </c>
      <c r="C788" s="11" t="s">
        <v>1339</v>
      </c>
      <c r="D788" s="12">
        <v>43924</v>
      </c>
      <c r="E788" s="12">
        <v>43925</v>
      </c>
      <c r="F788" s="13">
        <v>3050000</v>
      </c>
      <c r="G788" s="14">
        <v>0</v>
      </c>
      <c r="H788" s="9" t="s">
        <v>1347</v>
      </c>
      <c r="I788" s="15">
        <v>901285199</v>
      </c>
      <c r="J788" s="16" t="s">
        <v>1349</v>
      </c>
      <c r="K788" s="17">
        <v>100</v>
      </c>
      <c r="L788" s="18" t="s">
        <v>21</v>
      </c>
      <c r="M788" s="19">
        <v>10504</v>
      </c>
      <c r="N788" s="19">
        <f t="shared" si="57"/>
        <v>1995.76</v>
      </c>
      <c r="O788" s="19">
        <f t="shared" si="56"/>
        <v>1249976</v>
      </c>
      <c r="P788" s="17" t="s">
        <v>412</v>
      </c>
      <c r="R788" s="31"/>
    </row>
    <row r="789" spans="1:18" x14ac:dyDescent="0.3">
      <c r="A789" s="9" t="s">
        <v>1306</v>
      </c>
      <c r="B789" s="10" t="s">
        <v>1350</v>
      </c>
      <c r="C789" s="11" t="s">
        <v>1351</v>
      </c>
      <c r="D789" s="12">
        <v>43917</v>
      </c>
      <c r="E789" s="12">
        <v>43917</v>
      </c>
      <c r="F789" s="13">
        <v>4307800</v>
      </c>
      <c r="G789" s="14">
        <v>0</v>
      </c>
      <c r="H789" s="9" t="s">
        <v>254</v>
      </c>
      <c r="I789" s="15">
        <v>830037946</v>
      </c>
      <c r="J789" s="16" t="s">
        <v>1352</v>
      </c>
      <c r="K789" s="17">
        <v>200</v>
      </c>
      <c r="L789" s="18" t="s">
        <v>53</v>
      </c>
      <c r="M789" s="19">
        <v>21539</v>
      </c>
      <c r="N789" s="19">
        <v>0</v>
      </c>
      <c r="O789" s="19">
        <f t="shared" si="56"/>
        <v>4307800</v>
      </c>
      <c r="P789" s="21" t="s">
        <v>656</v>
      </c>
      <c r="R789" s="31"/>
    </row>
    <row r="790" spans="1:18" x14ac:dyDescent="0.3">
      <c r="A790" s="9" t="s">
        <v>1306</v>
      </c>
      <c r="B790" s="10" t="s">
        <v>1353</v>
      </c>
      <c r="C790" s="11" t="s">
        <v>1354</v>
      </c>
      <c r="D790" s="12">
        <v>43941</v>
      </c>
      <c r="E790" s="12">
        <v>43942</v>
      </c>
      <c r="F790" s="13">
        <v>7770000</v>
      </c>
      <c r="G790" s="14">
        <v>0</v>
      </c>
      <c r="H790" s="9" t="s">
        <v>1347</v>
      </c>
      <c r="I790" s="15">
        <v>901285199</v>
      </c>
      <c r="J790" s="16" t="s">
        <v>1355</v>
      </c>
      <c r="K790" s="17">
        <v>400</v>
      </c>
      <c r="L790" s="18" t="s">
        <v>36</v>
      </c>
      <c r="M790" s="19">
        <v>18000</v>
      </c>
      <c r="N790" s="19">
        <v>0</v>
      </c>
      <c r="O790" s="19">
        <f t="shared" si="56"/>
        <v>7200000</v>
      </c>
      <c r="P790" s="17" t="s">
        <v>37</v>
      </c>
      <c r="R790" s="31"/>
    </row>
    <row r="791" spans="1:18" x14ac:dyDescent="0.3">
      <c r="A791" s="9" t="s">
        <v>1306</v>
      </c>
      <c r="B791" s="10" t="s">
        <v>1353</v>
      </c>
      <c r="C791" s="11" t="s">
        <v>1354</v>
      </c>
      <c r="D791" s="12">
        <v>43941</v>
      </c>
      <c r="E791" s="12">
        <v>43942</v>
      </c>
      <c r="F791" s="13">
        <v>7770000</v>
      </c>
      <c r="G791" s="14">
        <v>0</v>
      </c>
      <c r="H791" s="9" t="s">
        <v>1347</v>
      </c>
      <c r="I791" s="15">
        <v>901285199</v>
      </c>
      <c r="J791" s="16" t="s">
        <v>1356</v>
      </c>
      <c r="K791" s="17">
        <v>30</v>
      </c>
      <c r="L791" s="18" t="s">
        <v>70</v>
      </c>
      <c r="M791" s="19">
        <v>19000</v>
      </c>
      <c r="N791" s="19">
        <v>0</v>
      </c>
      <c r="O791" s="19">
        <f t="shared" si="56"/>
        <v>570000</v>
      </c>
      <c r="P791" s="17" t="s">
        <v>145</v>
      </c>
      <c r="R791" s="31"/>
    </row>
    <row r="792" spans="1:18" x14ac:dyDescent="0.3">
      <c r="A792" s="9" t="s">
        <v>1306</v>
      </c>
      <c r="B792" s="10" t="s">
        <v>1357</v>
      </c>
      <c r="C792" s="11" t="s">
        <v>1358</v>
      </c>
      <c r="D792" s="12">
        <v>43944</v>
      </c>
      <c r="E792" s="12">
        <v>43945</v>
      </c>
      <c r="F792" s="13">
        <v>2000000</v>
      </c>
      <c r="G792" s="14">
        <v>0</v>
      </c>
      <c r="H792" s="9" t="s">
        <v>1340</v>
      </c>
      <c r="I792" s="15">
        <v>815004985</v>
      </c>
      <c r="J792" s="16" t="s">
        <v>1359</v>
      </c>
      <c r="K792" s="17">
        <v>2000</v>
      </c>
      <c r="L792" s="18" t="s">
        <v>21</v>
      </c>
      <c r="M792" s="19">
        <v>1000</v>
      </c>
      <c r="N792" s="19">
        <v>0</v>
      </c>
      <c r="O792" s="19">
        <f t="shared" si="56"/>
        <v>2000000</v>
      </c>
      <c r="P792" s="17" t="s">
        <v>31</v>
      </c>
      <c r="R792" s="31"/>
    </row>
    <row r="793" spans="1:18" x14ac:dyDescent="0.3">
      <c r="A793" s="9" t="s">
        <v>1306</v>
      </c>
      <c r="B793" s="10" t="s">
        <v>1360</v>
      </c>
      <c r="C793" s="11" t="s">
        <v>1361</v>
      </c>
      <c r="D793" s="12">
        <v>43969</v>
      </c>
      <c r="E793" s="12">
        <v>43942</v>
      </c>
      <c r="F793" s="13">
        <v>2682000</v>
      </c>
      <c r="G793" s="14">
        <v>0</v>
      </c>
      <c r="H793" s="9" t="s">
        <v>1362</v>
      </c>
      <c r="I793" s="15">
        <v>901285199</v>
      </c>
      <c r="J793" s="16" t="s">
        <v>1363</v>
      </c>
      <c r="K793" s="17">
        <v>1490</v>
      </c>
      <c r="L793" s="18" t="s">
        <v>21</v>
      </c>
      <c r="M793" s="19">
        <v>1800</v>
      </c>
      <c r="N793" s="19">
        <v>0</v>
      </c>
      <c r="O793" s="19">
        <f t="shared" si="56"/>
        <v>2682000</v>
      </c>
      <c r="P793" s="17" t="s">
        <v>31</v>
      </c>
      <c r="R793" s="31"/>
    </row>
    <row r="794" spans="1:18" x14ac:dyDescent="0.3">
      <c r="A794" s="9" t="s">
        <v>1306</v>
      </c>
      <c r="B794" s="10" t="s">
        <v>1364</v>
      </c>
      <c r="C794" s="11" t="s">
        <v>1365</v>
      </c>
      <c r="D794" s="12">
        <v>43971</v>
      </c>
      <c r="E794" s="12">
        <v>43945</v>
      </c>
      <c r="F794" s="13">
        <v>4086300</v>
      </c>
      <c r="G794" s="14">
        <v>0</v>
      </c>
      <c r="H794" s="9" t="s">
        <v>1366</v>
      </c>
      <c r="I794" s="15">
        <v>76264578</v>
      </c>
      <c r="J794" s="16" t="s">
        <v>1367</v>
      </c>
      <c r="K794" s="17">
        <v>1</v>
      </c>
      <c r="L794" s="18" t="s">
        <v>21</v>
      </c>
      <c r="M794" s="19">
        <v>4086300</v>
      </c>
      <c r="N794" s="19">
        <v>0</v>
      </c>
      <c r="O794" s="19">
        <f t="shared" si="56"/>
        <v>4086300</v>
      </c>
      <c r="P794" s="17" t="s">
        <v>155</v>
      </c>
      <c r="R794" s="31"/>
    </row>
    <row r="795" spans="1:18" x14ac:dyDescent="0.3">
      <c r="A795" s="9" t="s">
        <v>1306</v>
      </c>
      <c r="B795" s="10" t="s">
        <v>2057</v>
      </c>
      <c r="C795" s="11" t="s">
        <v>1368</v>
      </c>
      <c r="D795" s="12">
        <v>43970</v>
      </c>
      <c r="E795" s="12">
        <v>43970</v>
      </c>
      <c r="F795" s="13">
        <v>8900000</v>
      </c>
      <c r="G795" s="14">
        <v>3800000</v>
      </c>
      <c r="H795" s="9" t="s">
        <v>398</v>
      </c>
      <c r="I795" s="15">
        <v>900401081</v>
      </c>
      <c r="J795" s="16" t="s">
        <v>1369</v>
      </c>
      <c r="K795" s="17">
        <v>12700</v>
      </c>
      <c r="L795" s="18" t="s">
        <v>21</v>
      </c>
      <c r="M795" s="19">
        <v>1000</v>
      </c>
      <c r="N795" s="19">
        <v>0</v>
      </c>
      <c r="O795" s="19">
        <f t="shared" si="56"/>
        <v>12700000</v>
      </c>
      <c r="P795" s="17" t="s">
        <v>31</v>
      </c>
      <c r="R795" s="31"/>
    </row>
    <row r="796" spans="1:18" x14ac:dyDescent="0.3">
      <c r="A796" s="9" t="s">
        <v>1306</v>
      </c>
      <c r="B796" s="10" t="s">
        <v>2058</v>
      </c>
      <c r="C796" s="11" t="s">
        <v>1370</v>
      </c>
      <c r="D796" s="12">
        <v>43971</v>
      </c>
      <c r="E796" s="12">
        <v>43971</v>
      </c>
      <c r="F796" s="13">
        <v>11737650</v>
      </c>
      <c r="G796" s="14">
        <v>0</v>
      </c>
      <c r="H796" s="9" t="s">
        <v>1371</v>
      </c>
      <c r="I796" s="15">
        <v>900350133</v>
      </c>
      <c r="J796" s="16" t="s">
        <v>69</v>
      </c>
      <c r="K796" s="17">
        <v>199</v>
      </c>
      <c r="L796" s="18" t="s">
        <v>70</v>
      </c>
      <c r="M796" s="19">
        <v>58983.165829145699</v>
      </c>
      <c r="N796" s="19">
        <v>0</v>
      </c>
      <c r="O796" s="19">
        <f t="shared" si="56"/>
        <v>11737649.999999994</v>
      </c>
      <c r="P796" s="17" t="s">
        <v>69</v>
      </c>
      <c r="R796" s="31"/>
    </row>
    <row r="797" spans="1:18" x14ac:dyDescent="0.3">
      <c r="A797" s="9" t="s">
        <v>1306</v>
      </c>
      <c r="B797" s="10" t="s">
        <v>2059</v>
      </c>
      <c r="C797" s="11" t="s">
        <v>1372</v>
      </c>
      <c r="D797" s="12">
        <v>43973</v>
      </c>
      <c r="E797" s="12">
        <v>43973</v>
      </c>
      <c r="F797" s="13">
        <v>4484000</v>
      </c>
      <c r="G797" s="14">
        <v>0</v>
      </c>
      <c r="H797" s="9" t="s">
        <v>356</v>
      </c>
      <c r="I797" s="15">
        <v>900300970</v>
      </c>
      <c r="J797" s="16" t="s">
        <v>39</v>
      </c>
      <c r="K797" s="46">
        <v>318</v>
      </c>
      <c r="L797" s="18" t="s">
        <v>36</v>
      </c>
      <c r="M797" s="19">
        <v>14100.6289308176</v>
      </c>
      <c r="N797" s="19">
        <v>0</v>
      </c>
      <c r="O797" s="19">
        <f t="shared" si="56"/>
        <v>4483999.9999999972</v>
      </c>
      <c r="P797" s="17" t="s">
        <v>39</v>
      </c>
      <c r="R797" s="31"/>
    </row>
    <row r="798" spans="1:18" x14ac:dyDescent="0.3">
      <c r="A798" s="9" t="s">
        <v>1306</v>
      </c>
      <c r="B798" s="10" t="s">
        <v>2060</v>
      </c>
      <c r="C798" s="11" t="s">
        <v>1373</v>
      </c>
      <c r="D798" s="12">
        <v>43973</v>
      </c>
      <c r="E798" s="12">
        <v>43973</v>
      </c>
      <c r="F798" s="13">
        <v>4502668</v>
      </c>
      <c r="G798" s="14">
        <v>0</v>
      </c>
      <c r="H798" s="9" t="s">
        <v>959</v>
      </c>
      <c r="I798" s="15">
        <v>805023817</v>
      </c>
      <c r="J798" s="16" t="s">
        <v>37</v>
      </c>
      <c r="K798" s="17">
        <v>320</v>
      </c>
      <c r="L798" s="18" t="s">
        <v>36</v>
      </c>
      <c r="M798" s="19">
        <v>14070.8375</v>
      </c>
      <c r="N798" s="19">
        <v>0</v>
      </c>
      <c r="O798" s="19">
        <f t="shared" si="56"/>
        <v>4502668</v>
      </c>
      <c r="P798" s="17" t="s">
        <v>37</v>
      </c>
      <c r="R798" s="31"/>
    </row>
    <row r="799" spans="1:18" x14ac:dyDescent="0.3">
      <c r="A799" s="9" t="s">
        <v>1306</v>
      </c>
      <c r="B799" s="10" t="s">
        <v>2061</v>
      </c>
      <c r="C799" s="11" t="s">
        <v>1374</v>
      </c>
      <c r="D799" s="12">
        <v>43973</v>
      </c>
      <c r="E799" s="12">
        <v>43973</v>
      </c>
      <c r="F799" s="13">
        <v>15534230</v>
      </c>
      <c r="G799" s="14">
        <v>0</v>
      </c>
      <c r="H799" s="9" t="s">
        <v>359</v>
      </c>
      <c r="I799" s="15">
        <v>900704052</v>
      </c>
      <c r="J799" s="16" t="s">
        <v>58</v>
      </c>
      <c r="K799" s="17">
        <v>3065</v>
      </c>
      <c r="L799" s="29" t="s">
        <v>2135</v>
      </c>
      <c r="M799" s="19">
        <v>5068.2642740619904</v>
      </c>
      <c r="N799" s="19">
        <v>0</v>
      </c>
      <c r="O799" s="19">
        <f t="shared" si="56"/>
        <v>15534230</v>
      </c>
      <c r="P799" s="21" t="s">
        <v>656</v>
      </c>
      <c r="R799" s="31"/>
    </row>
    <row r="800" spans="1:18" x14ac:dyDescent="0.3">
      <c r="A800" s="9" t="s">
        <v>1306</v>
      </c>
      <c r="B800" s="10" t="s">
        <v>2062</v>
      </c>
      <c r="C800" s="11" t="s">
        <v>1375</v>
      </c>
      <c r="D800" s="12">
        <v>43979</v>
      </c>
      <c r="E800" s="12">
        <v>43979</v>
      </c>
      <c r="F800" s="13">
        <v>11500000</v>
      </c>
      <c r="G800" s="14">
        <v>0</v>
      </c>
      <c r="H800" s="9" t="s">
        <v>306</v>
      </c>
      <c r="I800" s="15">
        <v>900017447</v>
      </c>
      <c r="J800" s="16" t="s">
        <v>668</v>
      </c>
      <c r="K800" s="17">
        <v>20</v>
      </c>
      <c r="L800" s="18" t="s">
        <v>21</v>
      </c>
      <c r="M800" s="19">
        <v>575000</v>
      </c>
      <c r="N800" s="19">
        <v>0</v>
      </c>
      <c r="O800" s="19">
        <f t="shared" si="56"/>
        <v>11500000</v>
      </c>
      <c r="P800" s="17" t="s">
        <v>185</v>
      </c>
      <c r="R800" s="31"/>
    </row>
    <row r="801" spans="1:18" x14ac:dyDescent="0.3">
      <c r="A801" s="9" t="s">
        <v>1306</v>
      </c>
      <c r="B801" s="10" t="s">
        <v>2063</v>
      </c>
      <c r="C801" s="11" t="s">
        <v>1376</v>
      </c>
      <c r="D801" s="12">
        <v>43980</v>
      </c>
      <c r="E801" s="12">
        <v>43980</v>
      </c>
      <c r="F801" s="13">
        <v>10400000</v>
      </c>
      <c r="G801" s="14">
        <v>0</v>
      </c>
      <c r="H801" s="9" t="s">
        <v>172</v>
      </c>
      <c r="I801" s="15">
        <v>900155107</v>
      </c>
      <c r="J801" s="16" t="s">
        <v>1377</v>
      </c>
      <c r="K801" s="17">
        <v>80</v>
      </c>
      <c r="L801" s="18" t="s">
        <v>21</v>
      </c>
      <c r="M801" s="19">
        <v>130000</v>
      </c>
      <c r="N801" s="19">
        <v>0</v>
      </c>
      <c r="O801" s="19">
        <f t="shared" si="56"/>
        <v>10400000</v>
      </c>
      <c r="P801" s="17" t="s">
        <v>82</v>
      </c>
      <c r="R801" s="31"/>
    </row>
    <row r="802" spans="1:18" x14ac:dyDescent="0.3">
      <c r="A802" s="9" t="s">
        <v>1306</v>
      </c>
      <c r="B802" s="10" t="s">
        <v>2064</v>
      </c>
      <c r="C802" s="11" t="s">
        <v>1817</v>
      </c>
      <c r="D802" s="12">
        <v>43984</v>
      </c>
      <c r="E802" s="12">
        <v>43984</v>
      </c>
      <c r="F802" s="13">
        <v>8195650</v>
      </c>
      <c r="G802" s="14">
        <v>0</v>
      </c>
      <c r="H802" s="9" t="s">
        <v>172</v>
      </c>
      <c r="I802" s="15">
        <v>900155107</v>
      </c>
      <c r="J802" s="16" t="s">
        <v>27</v>
      </c>
      <c r="K802" s="17">
        <v>950</v>
      </c>
      <c r="L802" s="18" t="s">
        <v>21</v>
      </c>
      <c r="M802" s="19">
        <v>8627</v>
      </c>
      <c r="N802" s="19">
        <v>0</v>
      </c>
      <c r="O802" s="19">
        <f t="shared" si="56"/>
        <v>8195650</v>
      </c>
      <c r="P802" s="17" t="s">
        <v>412</v>
      </c>
      <c r="R802" s="31"/>
    </row>
    <row r="803" spans="1:18" x14ac:dyDescent="0.3">
      <c r="A803" s="9" t="s">
        <v>1306</v>
      </c>
      <c r="B803" s="10" t="s">
        <v>2065</v>
      </c>
      <c r="C803" s="11" t="s">
        <v>1818</v>
      </c>
      <c r="D803" s="12">
        <v>43984</v>
      </c>
      <c r="E803" s="12">
        <v>43984</v>
      </c>
      <c r="F803" s="13">
        <v>7696200</v>
      </c>
      <c r="G803" s="14">
        <v>0</v>
      </c>
      <c r="H803" s="9" t="s">
        <v>172</v>
      </c>
      <c r="I803" s="15">
        <v>900155107</v>
      </c>
      <c r="J803" s="16" t="s">
        <v>1005</v>
      </c>
      <c r="K803" s="17">
        <v>3</v>
      </c>
      <c r="L803" s="18" t="s">
        <v>21</v>
      </c>
      <c r="M803" s="19">
        <v>2565400</v>
      </c>
      <c r="N803" s="19">
        <v>0</v>
      </c>
      <c r="O803" s="19">
        <f t="shared" si="56"/>
        <v>7696200</v>
      </c>
      <c r="P803" s="17" t="s">
        <v>65</v>
      </c>
      <c r="R803" s="31"/>
    </row>
    <row r="804" spans="1:18" x14ac:dyDescent="0.3">
      <c r="A804" s="9" t="s">
        <v>1306</v>
      </c>
      <c r="B804" s="10" t="s">
        <v>2066</v>
      </c>
      <c r="C804" s="11" t="s">
        <v>1378</v>
      </c>
      <c r="D804" s="12">
        <v>44000</v>
      </c>
      <c r="E804" s="12">
        <v>44000</v>
      </c>
      <c r="F804" s="13">
        <v>49500001</v>
      </c>
      <c r="G804" s="14">
        <v>0</v>
      </c>
      <c r="H804" s="9" t="s">
        <v>398</v>
      </c>
      <c r="I804" s="15">
        <v>900401081</v>
      </c>
      <c r="J804" s="16" t="s">
        <v>1369</v>
      </c>
      <c r="K804" s="17">
        <v>50000</v>
      </c>
      <c r="L804" s="18" t="s">
        <v>21</v>
      </c>
      <c r="M804" s="19">
        <v>990.00001999999995</v>
      </c>
      <c r="N804" s="19">
        <v>0</v>
      </c>
      <c r="O804" s="19">
        <f t="shared" si="56"/>
        <v>49500001</v>
      </c>
      <c r="P804" s="17" t="s">
        <v>31</v>
      </c>
      <c r="R804" s="31"/>
    </row>
    <row r="805" spans="1:18" x14ac:dyDescent="0.3">
      <c r="A805" s="9" t="s">
        <v>1306</v>
      </c>
      <c r="B805" s="10" t="s">
        <v>2067</v>
      </c>
      <c r="C805" s="11" t="s">
        <v>1819</v>
      </c>
      <c r="D805" s="12">
        <v>44005</v>
      </c>
      <c r="E805" s="12">
        <v>44005</v>
      </c>
      <c r="F805" s="13">
        <v>1100000</v>
      </c>
      <c r="G805" s="14">
        <v>0</v>
      </c>
      <c r="H805" s="9" t="s">
        <v>332</v>
      </c>
      <c r="I805" s="15">
        <v>830037946</v>
      </c>
      <c r="J805" s="16" t="s">
        <v>75</v>
      </c>
      <c r="K805" s="17">
        <v>100</v>
      </c>
      <c r="L805" s="18" t="s">
        <v>21</v>
      </c>
      <c r="M805" s="19">
        <v>11000</v>
      </c>
      <c r="N805" s="19">
        <v>0</v>
      </c>
      <c r="O805" s="19">
        <f t="shared" si="56"/>
        <v>1100000</v>
      </c>
      <c r="P805" s="17" t="s">
        <v>75</v>
      </c>
      <c r="R805" s="31"/>
    </row>
    <row r="806" spans="1:18" x14ac:dyDescent="0.3">
      <c r="A806" s="9" t="s">
        <v>1306</v>
      </c>
      <c r="B806" s="10" t="s">
        <v>2068</v>
      </c>
      <c r="C806" s="11" t="s">
        <v>1820</v>
      </c>
      <c r="D806" s="12">
        <v>44007</v>
      </c>
      <c r="E806" s="12">
        <v>44007</v>
      </c>
      <c r="F806" s="13">
        <v>38826000</v>
      </c>
      <c r="G806" s="14">
        <v>0</v>
      </c>
      <c r="H806" s="9" t="s">
        <v>401</v>
      </c>
      <c r="I806" s="15">
        <v>901211678</v>
      </c>
      <c r="J806" s="16" t="s">
        <v>925</v>
      </c>
      <c r="K806" s="17">
        <v>3000</v>
      </c>
      <c r="L806" s="18" t="s">
        <v>36</v>
      </c>
      <c r="M806" s="19">
        <v>12942</v>
      </c>
      <c r="N806" s="19">
        <v>0</v>
      </c>
      <c r="O806" s="19">
        <f t="shared" si="56"/>
        <v>38826000</v>
      </c>
      <c r="P806" s="17" t="s">
        <v>37</v>
      </c>
      <c r="R806" s="31"/>
    </row>
    <row r="807" spans="1:18" x14ac:dyDescent="0.3">
      <c r="A807" s="9" t="s">
        <v>1306</v>
      </c>
      <c r="B807" s="10" t="s">
        <v>2069</v>
      </c>
      <c r="C807" s="11" t="s">
        <v>1818</v>
      </c>
      <c r="D807" s="12">
        <v>44035</v>
      </c>
      <c r="E807" s="12">
        <v>44035</v>
      </c>
      <c r="F807" s="13">
        <v>2359000</v>
      </c>
      <c r="G807" s="14">
        <v>0</v>
      </c>
      <c r="H807" s="9" t="s">
        <v>172</v>
      </c>
      <c r="I807" s="15">
        <v>900155107</v>
      </c>
      <c r="J807" s="16" t="s">
        <v>1379</v>
      </c>
      <c r="K807" s="17">
        <v>1</v>
      </c>
      <c r="L807" s="18" t="s">
        <v>21</v>
      </c>
      <c r="M807" s="19">
        <v>2359000</v>
      </c>
      <c r="N807" s="19">
        <v>0</v>
      </c>
      <c r="O807" s="19">
        <f t="shared" si="56"/>
        <v>2359000</v>
      </c>
      <c r="P807" s="17" t="s">
        <v>65</v>
      </c>
      <c r="R807" s="31"/>
    </row>
    <row r="808" spans="1:18" x14ac:dyDescent="0.3">
      <c r="A808" s="9" t="s">
        <v>1306</v>
      </c>
      <c r="B808" s="10" t="s">
        <v>1380</v>
      </c>
      <c r="C808" s="11" t="s">
        <v>1381</v>
      </c>
      <c r="D808" s="12">
        <v>44090</v>
      </c>
      <c r="E808" s="12">
        <v>44092</v>
      </c>
      <c r="F808" s="13">
        <v>51600000</v>
      </c>
      <c r="G808" s="14">
        <v>-802667</v>
      </c>
      <c r="H808" s="9" t="s">
        <v>1382</v>
      </c>
      <c r="I808" s="15" t="s">
        <v>1383</v>
      </c>
      <c r="J808" s="16" t="s">
        <v>1310</v>
      </c>
      <c r="K808" s="17">
        <v>30</v>
      </c>
      <c r="L808" s="18" t="s">
        <v>44</v>
      </c>
      <c r="M808" s="19">
        <v>1720000</v>
      </c>
      <c r="N808" s="19">
        <v>0</v>
      </c>
      <c r="O808" s="19">
        <f t="shared" si="56"/>
        <v>51600000</v>
      </c>
      <c r="P808" s="17" t="s">
        <v>45</v>
      </c>
      <c r="R808" s="31"/>
    </row>
    <row r="809" spans="1:18" x14ac:dyDescent="0.3">
      <c r="A809" s="9" t="s">
        <v>1306</v>
      </c>
      <c r="B809" s="10" t="s">
        <v>1384</v>
      </c>
      <c r="C809" s="11" t="s">
        <v>1385</v>
      </c>
      <c r="D809" s="12">
        <v>44158</v>
      </c>
      <c r="E809" s="12">
        <v>44160</v>
      </c>
      <c r="F809" s="13">
        <v>27720000</v>
      </c>
      <c r="G809" s="14">
        <v>-1980000</v>
      </c>
      <c r="H809" s="9" t="s">
        <v>1386</v>
      </c>
      <c r="I809" s="15" t="s">
        <v>1383</v>
      </c>
      <c r="J809" s="16" t="s">
        <v>1310</v>
      </c>
      <c r="K809" s="17">
        <v>504</v>
      </c>
      <c r="L809" s="18" t="s">
        <v>44</v>
      </c>
      <c r="M809" s="19">
        <v>55000</v>
      </c>
      <c r="N809" s="19">
        <v>0</v>
      </c>
      <c r="O809" s="19">
        <f t="shared" si="56"/>
        <v>27720000</v>
      </c>
      <c r="P809" s="17" t="s">
        <v>45</v>
      </c>
      <c r="R809" s="31"/>
    </row>
    <row r="810" spans="1:18" x14ac:dyDescent="0.3">
      <c r="A810" s="9" t="s">
        <v>1306</v>
      </c>
      <c r="B810" s="10" t="s">
        <v>1387</v>
      </c>
      <c r="C810" s="11" t="s">
        <v>1388</v>
      </c>
      <c r="D810" s="12">
        <v>44187</v>
      </c>
      <c r="E810" s="12">
        <v>44188</v>
      </c>
      <c r="F810" s="13">
        <v>26108850</v>
      </c>
      <c r="G810" s="14">
        <v>0</v>
      </c>
      <c r="H810" s="9" t="s">
        <v>1389</v>
      </c>
      <c r="I810" s="15" t="s">
        <v>1390</v>
      </c>
      <c r="J810" s="16" t="s">
        <v>1391</v>
      </c>
      <c r="K810" s="17">
        <f>1158*3.75</f>
        <v>4342.5</v>
      </c>
      <c r="L810" s="18" t="s">
        <v>36</v>
      </c>
      <c r="M810" s="19">
        <f>15950/3.75</f>
        <v>4253.333333333333</v>
      </c>
      <c r="N810" s="19">
        <v>0</v>
      </c>
      <c r="O810" s="19">
        <f t="shared" si="56"/>
        <v>18470100</v>
      </c>
      <c r="P810" s="17" t="s">
        <v>161</v>
      </c>
      <c r="R810" s="31"/>
    </row>
    <row r="811" spans="1:18" x14ac:dyDescent="0.3">
      <c r="A811" s="9" t="s">
        <v>1306</v>
      </c>
      <c r="B811" s="10" t="s">
        <v>1387</v>
      </c>
      <c r="C811" s="11" t="s">
        <v>1388</v>
      </c>
      <c r="D811" s="12">
        <v>44187</v>
      </c>
      <c r="E811" s="12">
        <v>44188</v>
      </c>
      <c r="F811" s="13">
        <v>26108850</v>
      </c>
      <c r="G811" s="14">
        <v>0</v>
      </c>
      <c r="H811" s="9" t="s">
        <v>1389</v>
      </c>
      <c r="I811" s="15" t="s">
        <v>1390</v>
      </c>
      <c r="J811" s="16" t="s">
        <v>1392</v>
      </c>
      <c r="K811" s="17">
        <f>1575/2</f>
        <v>787.5</v>
      </c>
      <c r="L811" s="18" t="s">
        <v>36</v>
      </c>
      <c r="M811" s="19">
        <f>4850*2</f>
        <v>9700</v>
      </c>
      <c r="N811" s="19">
        <v>0</v>
      </c>
      <c r="O811" s="19">
        <f t="shared" si="56"/>
        <v>7638750</v>
      </c>
      <c r="P811" s="17" t="s">
        <v>37</v>
      </c>
      <c r="R811" s="31"/>
    </row>
    <row r="812" spans="1:18" x14ac:dyDescent="0.3">
      <c r="A812" s="9" t="s">
        <v>1306</v>
      </c>
      <c r="B812" s="10" t="s">
        <v>1393</v>
      </c>
      <c r="C812" s="11" t="s">
        <v>1394</v>
      </c>
      <c r="D812" s="12">
        <v>44085</v>
      </c>
      <c r="E812" s="12">
        <v>44085</v>
      </c>
      <c r="F812" s="13">
        <v>31611816</v>
      </c>
      <c r="G812" s="14">
        <v>0</v>
      </c>
      <c r="H812" s="9" t="s">
        <v>1395</v>
      </c>
      <c r="I812" s="15" t="s">
        <v>1396</v>
      </c>
      <c r="J812" s="16" t="s">
        <v>1919</v>
      </c>
      <c r="K812" s="17">
        <v>13</v>
      </c>
      <c r="L812" s="18" t="s">
        <v>21</v>
      </c>
      <c r="M812" s="19">
        <f>1899079+129348+15000</f>
        <v>2043427</v>
      </c>
      <c r="N812" s="19">
        <f>M812*0.19</f>
        <v>388251.13</v>
      </c>
      <c r="O812" s="19">
        <f t="shared" si="56"/>
        <v>31611815.689999998</v>
      </c>
      <c r="P812" s="17" t="s">
        <v>1751</v>
      </c>
      <c r="R812" s="31"/>
    </row>
    <row r="813" spans="1:18" x14ac:dyDescent="0.3">
      <c r="A813" s="9" t="s">
        <v>1306</v>
      </c>
      <c r="B813" s="10" t="s">
        <v>1397</v>
      </c>
      <c r="C813" s="11" t="s">
        <v>1398</v>
      </c>
      <c r="D813" s="12">
        <v>44089</v>
      </c>
      <c r="E813" s="12">
        <v>44089</v>
      </c>
      <c r="F813" s="13">
        <v>5161930</v>
      </c>
      <c r="G813" s="14">
        <v>0</v>
      </c>
      <c r="H813" s="9" t="s">
        <v>952</v>
      </c>
      <c r="I813" s="15" t="s">
        <v>953</v>
      </c>
      <c r="J813" s="16" t="s">
        <v>1920</v>
      </c>
      <c r="K813" s="17">
        <v>126</v>
      </c>
      <c r="L813" s="18" t="s">
        <v>70</v>
      </c>
      <c r="M813" s="19">
        <v>39150</v>
      </c>
      <c r="N813" s="19">
        <v>0</v>
      </c>
      <c r="O813" s="19">
        <f t="shared" si="56"/>
        <v>4932900</v>
      </c>
      <c r="P813" s="17" t="s">
        <v>69</v>
      </c>
      <c r="R813" s="31"/>
    </row>
    <row r="814" spans="1:18" x14ac:dyDescent="0.3">
      <c r="A814" s="9" t="s">
        <v>1306</v>
      </c>
      <c r="B814" s="10" t="s">
        <v>1399</v>
      </c>
      <c r="C814" s="11" t="s">
        <v>1400</v>
      </c>
      <c r="D814" s="12">
        <v>44104</v>
      </c>
      <c r="E814" s="12">
        <v>44104</v>
      </c>
      <c r="F814" s="13">
        <v>15470000</v>
      </c>
      <c r="G814" s="14">
        <v>0</v>
      </c>
      <c r="H814" s="9" t="s">
        <v>1401</v>
      </c>
      <c r="I814" s="15" t="s">
        <v>1402</v>
      </c>
      <c r="J814" s="16" t="s">
        <v>1941</v>
      </c>
      <c r="K814" s="17">
        <v>52</v>
      </c>
      <c r="L814" s="18" t="s">
        <v>21</v>
      </c>
      <c r="M814" s="19">
        <v>250000</v>
      </c>
      <c r="N814" s="19">
        <f t="shared" ref="N814:N815" si="58">M814*0.19</f>
        <v>47500</v>
      </c>
      <c r="O814" s="19">
        <f t="shared" si="56"/>
        <v>15470000</v>
      </c>
      <c r="P814" s="16" t="s">
        <v>119</v>
      </c>
      <c r="R814" s="31"/>
    </row>
    <row r="815" spans="1:18" x14ac:dyDescent="0.3">
      <c r="A815" s="9" t="s">
        <v>1306</v>
      </c>
      <c r="B815" s="10" t="s">
        <v>1403</v>
      </c>
      <c r="C815" s="11" t="s">
        <v>1404</v>
      </c>
      <c r="D815" s="12">
        <v>44104</v>
      </c>
      <c r="E815" s="12">
        <v>44104</v>
      </c>
      <c r="F815" s="13">
        <v>8707260</v>
      </c>
      <c r="G815" s="14">
        <v>0</v>
      </c>
      <c r="H815" s="9" t="s">
        <v>1395</v>
      </c>
      <c r="I815" s="15" t="s">
        <v>1396</v>
      </c>
      <c r="J815" s="16" t="s">
        <v>1921</v>
      </c>
      <c r="K815" s="17">
        <v>52</v>
      </c>
      <c r="L815" s="18" t="s">
        <v>21</v>
      </c>
      <c r="M815" s="19">
        <v>139500</v>
      </c>
      <c r="N815" s="19">
        <f t="shared" si="58"/>
        <v>26505</v>
      </c>
      <c r="O815" s="19">
        <f t="shared" si="56"/>
        <v>8632260</v>
      </c>
      <c r="P815" s="17" t="s">
        <v>120</v>
      </c>
      <c r="R815" s="31"/>
    </row>
    <row r="816" spans="1:18" x14ac:dyDescent="0.3">
      <c r="A816" s="9" t="s">
        <v>1306</v>
      </c>
      <c r="B816" s="10" t="s">
        <v>1405</v>
      </c>
      <c r="C816" s="11" t="s">
        <v>1406</v>
      </c>
      <c r="D816" s="12">
        <v>44132</v>
      </c>
      <c r="E816" s="12">
        <v>44132</v>
      </c>
      <c r="F816" s="13">
        <v>5515620</v>
      </c>
      <c r="G816" s="14">
        <v>0</v>
      </c>
      <c r="H816" s="9" t="s">
        <v>332</v>
      </c>
      <c r="I816" s="15" t="s">
        <v>1407</v>
      </c>
      <c r="J816" s="16" t="s">
        <v>1922</v>
      </c>
      <c r="K816" s="17">
        <v>60</v>
      </c>
      <c r="L816" s="18" t="s">
        <v>21</v>
      </c>
      <c r="M816" s="19">
        <v>34224</v>
      </c>
      <c r="N816" s="19">
        <v>0</v>
      </c>
      <c r="O816" s="19">
        <f t="shared" si="56"/>
        <v>2053440</v>
      </c>
      <c r="P816" s="17" t="s">
        <v>334</v>
      </c>
      <c r="R816" s="31"/>
    </row>
    <row r="817" spans="1:18" x14ac:dyDescent="0.3">
      <c r="A817" s="9" t="s">
        <v>1306</v>
      </c>
      <c r="B817" s="10" t="s">
        <v>1405</v>
      </c>
      <c r="C817" s="11" t="s">
        <v>1406</v>
      </c>
      <c r="D817" s="12">
        <v>44132</v>
      </c>
      <c r="E817" s="12">
        <v>44132</v>
      </c>
      <c r="F817" s="13">
        <v>5515620</v>
      </c>
      <c r="G817" s="14">
        <v>0</v>
      </c>
      <c r="H817" s="9" t="s">
        <v>332</v>
      </c>
      <c r="I817" s="15" t="s">
        <v>1407</v>
      </c>
      <c r="J817" s="16" t="s">
        <v>1923</v>
      </c>
      <c r="K817" s="17">
        <v>60</v>
      </c>
      <c r="L817" s="18" t="s">
        <v>21</v>
      </c>
      <c r="M817" s="19">
        <v>57703</v>
      </c>
      <c r="N817" s="19">
        <v>0</v>
      </c>
      <c r="O817" s="19">
        <f t="shared" si="56"/>
        <v>3462180</v>
      </c>
      <c r="P817" s="17" t="s">
        <v>334</v>
      </c>
      <c r="R817" s="31"/>
    </row>
    <row r="818" spans="1:18" x14ac:dyDescent="0.3">
      <c r="A818" s="9" t="s">
        <v>1306</v>
      </c>
      <c r="B818" s="10" t="s">
        <v>1408</v>
      </c>
      <c r="C818" s="11" t="s">
        <v>1409</v>
      </c>
      <c r="D818" s="12">
        <v>44166</v>
      </c>
      <c r="E818" s="12">
        <v>44166</v>
      </c>
      <c r="F818" s="13">
        <v>45875000</v>
      </c>
      <c r="G818" s="14">
        <v>0</v>
      </c>
      <c r="H818" s="9" t="s">
        <v>398</v>
      </c>
      <c r="I818" s="15" t="s">
        <v>1410</v>
      </c>
      <c r="J818" s="16" t="s">
        <v>1924</v>
      </c>
      <c r="K818" s="17">
        <v>91200</v>
      </c>
      <c r="L818" s="18" t="s">
        <v>21</v>
      </c>
      <c r="M818" s="19">
        <v>500</v>
      </c>
      <c r="N818" s="19">
        <v>0</v>
      </c>
      <c r="O818" s="19">
        <f t="shared" si="56"/>
        <v>45600000</v>
      </c>
      <c r="P818" s="17" t="s">
        <v>31</v>
      </c>
      <c r="R818" s="31"/>
    </row>
    <row r="819" spans="1:18" x14ac:dyDescent="0.3">
      <c r="A819" s="9" t="s">
        <v>1306</v>
      </c>
      <c r="B819" s="10" t="s">
        <v>1411</v>
      </c>
      <c r="C819" s="11" t="s">
        <v>1412</v>
      </c>
      <c r="D819" s="12">
        <v>44169</v>
      </c>
      <c r="E819" s="12">
        <v>44169</v>
      </c>
      <c r="F819" s="13">
        <v>31073520</v>
      </c>
      <c r="G819" s="14">
        <v>0</v>
      </c>
      <c r="H819" s="9" t="s">
        <v>271</v>
      </c>
      <c r="I819" s="15" t="s">
        <v>1413</v>
      </c>
      <c r="J819" s="16" t="s">
        <v>1925</v>
      </c>
      <c r="K819" s="17">
        <v>8800</v>
      </c>
      <c r="L819" s="29" t="s">
        <v>2135</v>
      </c>
      <c r="M819" s="19">
        <v>2910</v>
      </c>
      <c r="N819" s="19">
        <f>M819*0.19</f>
        <v>552.9</v>
      </c>
      <c r="O819" s="19">
        <f t="shared" si="56"/>
        <v>30473520</v>
      </c>
      <c r="P819" s="21" t="s">
        <v>656</v>
      </c>
      <c r="R819" s="31"/>
    </row>
    <row r="820" spans="1:18" x14ac:dyDescent="0.3">
      <c r="A820" s="9" t="s">
        <v>1306</v>
      </c>
      <c r="B820" s="10" t="s">
        <v>1414</v>
      </c>
      <c r="C820" s="11" t="s">
        <v>1415</v>
      </c>
      <c r="D820" s="12">
        <v>44174</v>
      </c>
      <c r="E820" s="12">
        <v>44174</v>
      </c>
      <c r="F820" s="13">
        <v>8787100</v>
      </c>
      <c r="G820" s="14">
        <v>0</v>
      </c>
      <c r="H820" s="9" t="s">
        <v>356</v>
      </c>
      <c r="I820" s="15" t="s">
        <v>1416</v>
      </c>
      <c r="J820" s="16" t="s">
        <v>1926</v>
      </c>
      <c r="K820" s="17">
        <v>12</v>
      </c>
      <c r="L820" s="18" t="s">
        <v>21</v>
      </c>
      <c r="M820" s="19">
        <v>573326.33053221297</v>
      </c>
      <c r="N820" s="19">
        <f>M820*0.19</f>
        <v>108932.00280112047</v>
      </c>
      <c r="O820" s="19">
        <f t="shared" si="56"/>
        <v>8187100.0000000019</v>
      </c>
      <c r="P820" s="17" t="s">
        <v>65</v>
      </c>
      <c r="R820" s="31"/>
    </row>
    <row r="821" spans="1:18" x14ac:dyDescent="0.3">
      <c r="A821" s="9" t="s">
        <v>1306</v>
      </c>
      <c r="B821" s="10" t="s">
        <v>1417</v>
      </c>
      <c r="C821" s="11" t="s">
        <v>1418</v>
      </c>
      <c r="D821" s="12">
        <v>44179</v>
      </c>
      <c r="E821" s="12">
        <v>44179</v>
      </c>
      <c r="F821" s="13">
        <v>265000</v>
      </c>
      <c r="G821" s="14">
        <v>0</v>
      </c>
      <c r="H821" s="9" t="s">
        <v>401</v>
      </c>
      <c r="I821" s="15" t="s">
        <v>992</v>
      </c>
      <c r="J821" s="16" t="s">
        <v>1927</v>
      </c>
      <c r="K821" s="17">
        <v>20</v>
      </c>
      <c r="L821" s="18" t="s">
        <v>21</v>
      </c>
      <c r="M821" s="19">
        <v>11750</v>
      </c>
      <c r="N821" s="19">
        <v>0</v>
      </c>
      <c r="O821" s="19">
        <f t="shared" si="56"/>
        <v>235000</v>
      </c>
      <c r="P821" s="17" t="s">
        <v>22</v>
      </c>
      <c r="R821" s="31"/>
    </row>
    <row r="822" spans="1:18" x14ac:dyDescent="0.3">
      <c r="A822" s="9" t="s">
        <v>1306</v>
      </c>
      <c r="B822" s="10" t="s">
        <v>1419</v>
      </c>
      <c r="C822" s="11" t="s">
        <v>1420</v>
      </c>
      <c r="D822" s="12">
        <v>44179</v>
      </c>
      <c r="E822" s="12">
        <v>44179</v>
      </c>
      <c r="F822" s="13">
        <v>2969000</v>
      </c>
      <c r="G822" s="14">
        <v>0</v>
      </c>
      <c r="H822" s="9" t="s">
        <v>1421</v>
      </c>
      <c r="I822" s="15" t="s">
        <v>1422</v>
      </c>
      <c r="J822" s="16" t="s">
        <v>1928</v>
      </c>
      <c r="K822" s="17">
        <v>1000</v>
      </c>
      <c r="L822" s="18" t="s">
        <v>36</v>
      </c>
      <c r="M822" s="19">
        <v>2599</v>
      </c>
      <c r="N822" s="19">
        <v>0</v>
      </c>
      <c r="O822" s="19">
        <f t="shared" si="56"/>
        <v>2599000</v>
      </c>
      <c r="P822" s="17" t="s">
        <v>875</v>
      </c>
      <c r="R822" s="31"/>
    </row>
    <row r="823" spans="1:18" x14ac:dyDescent="0.3">
      <c r="A823" s="9" t="s">
        <v>1306</v>
      </c>
      <c r="B823" s="10" t="s">
        <v>1423</v>
      </c>
      <c r="C823" s="11" t="s">
        <v>1424</v>
      </c>
      <c r="D823" s="12">
        <v>44179</v>
      </c>
      <c r="E823" s="12">
        <v>44179</v>
      </c>
      <c r="F823" s="13">
        <v>2055310</v>
      </c>
      <c r="G823" s="14">
        <v>0</v>
      </c>
      <c r="H823" s="9" t="s">
        <v>356</v>
      </c>
      <c r="I823" s="15" t="s">
        <v>1416</v>
      </c>
      <c r="J823" s="16" t="s">
        <v>1929</v>
      </c>
      <c r="K823" s="17">
        <v>1000</v>
      </c>
      <c r="L823" s="18" t="s">
        <v>21</v>
      </c>
      <c r="M823" s="19">
        <v>1349</v>
      </c>
      <c r="N823" s="19">
        <f>M823*0.19</f>
        <v>256.31</v>
      </c>
      <c r="O823" s="19">
        <f t="shared" si="56"/>
        <v>1605310</v>
      </c>
      <c r="P823" s="17" t="s">
        <v>880</v>
      </c>
      <c r="R823" s="31"/>
    </row>
    <row r="824" spans="1:18" x14ac:dyDescent="0.3">
      <c r="A824" s="9" t="s">
        <v>1306</v>
      </c>
      <c r="B824" s="10" t="s">
        <v>1425</v>
      </c>
      <c r="C824" s="11" t="s">
        <v>1420</v>
      </c>
      <c r="D824" s="12">
        <v>44179</v>
      </c>
      <c r="E824" s="12">
        <v>44179</v>
      </c>
      <c r="F824" s="13">
        <v>1903275</v>
      </c>
      <c r="G824" s="14">
        <v>0</v>
      </c>
      <c r="H824" s="9" t="s">
        <v>508</v>
      </c>
      <c r="I824" s="15" t="s">
        <v>1426</v>
      </c>
      <c r="J824" s="16" t="s">
        <v>1930</v>
      </c>
      <c r="K824" s="17">
        <v>900</v>
      </c>
      <c r="L824" s="18" t="s">
        <v>21</v>
      </c>
      <c r="M824" s="19">
        <v>1525</v>
      </c>
      <c r="N824" s="19">
        <f>M824*0.19</f>
        <v>289.75</v>
      </c>
      <c r="O824" s="19">
        <f t="shared" si="56"/>
        <v>1633275</v>
      </c>
      <c r="P824" s="17" t="s">
        <v>869</v>
      </c>
      <c r="R824" s="31"/>
    </row>
    <row r="825" spans="1:18" x14ac:dyDescent="0.3">
      <c r="A825" s="9" t="s">
        <v>1306</v>
      </c>
      <c r="B825" s="10" t="s">
        <v>1427</v>
      </c>
      <c r="C825" s="11" t="s">
        <v>1428</v>
      </c>
      <c r="D825" s="12">
        <v>44180</v>
      </c>
      <c r="E825" s="12">
        <v>44180</v>
      </c>
      <c r="F825" s="13">
        <v>3058800</v>
      </c>
      <c r="G825" s="14">
        <v>0</v>
      </c>
      <c r="H825" s="9" t="s">
        <v>401</v>
      </c>
      <c r="I825" s="15" t="s">
        <v>992</v>
      </c>
      <c r="J825" s="16" t="s">
        <v>1931</v>
      </c>
      <c r="K825" s="46">
        <v>600</v>
      </c>
      <c r="L825" s="18" t="s">
        <v>36</v>
      </c>
      <c r="M825" s="19">
        <f>1999*2</f>
        <v>3998</v>
      </c>
      <c r="N825" s="19">
        <v>0</v>
      </c>
      <c r="O825" s="19">
        <f t="shared" si="56"/>
        <v>2398800</v>
      </c>
      <c r="P825" s="17" t="s">
        <v>39</v>
      </c>
      <c r="R825" s="31"/>
    </row>
    <row r="826" spans="1:18" x14ac:dyDescent="0.3">
      <c r="A826" s="9" t="s">
        <v>1306</v>
      </c>
      <c r="B826" s="10" t="s">
        <v>1429</v>
      </c>
      <c r="C826" s="11" t="s">
        <v>1430</v>
      </c>
      <c r="D826" s="12">
        <v>44180</v>
      </c>
      <c r="E826" s="12">
        <v>44180</v>
      </c>
      <c r="F826" s="13">
        <v>2180000</v>
      </c>
      <c r="G826" s="14">
        <v>0</v>
      </c>
      <c r="H826" s="9" t="s">
        <v>1431</v>
      </c>
      <c r="I826" s="15" t="s">
        <v>1432</v>
      </c>
      <c r="J826" s="16" t="s">
        <v>1932</v>
      </c>
      <c r="K826" s="17">
        <v>40</v>
      </c>
      <c r="L826" s="18" t="s">
        <v>21</v>
      </c>
      <c r="M826" s="19">
        <v>45000</v>
      </c>
      <c r="N826" s="19">
        <v>0</v>
      </c>
      <c r="O826" s="19">
        <f t="shared" si="56"/>
        <v>1800000</v>
      </c>
      <c r="P826" s="17" t="s">
        <v>185</v>
      </c>
      <c r="R826" s="31"/>
    </row>
    <row r="827" spans="1:18" x14ac:dyDescent="0.3">
      <c r="A827" s="9" t="s">
        <v>1306</v>
      </c>
      <c r="B827" s="10" t="s">
        <v>1433</v>
      </c>
      <c r="C827" s="11" t="s">
        <v>1418</v>
      </c>
      <c r="D827" s="12">
        <v>44194</v>
      </c>
      <c r="E827" s="12">
        <v>44194</v>
      </c>
      <c r="F827" s="13">
        <v>7458720</v>
      </c>
      <c r="G827" s="14">
        <v>0</v>
      </c>
      <c r="H827" s="9" t="s">
        <v>332</v>
      </c>
      <c r="I827" s="15" t="s">
        <v>1407</v>
      </c>
      <c r="J827" s="16" t="s">
        <v>1933</v>
      </c>
      <c r="K827" s="17">
        <v>160</v>
      </c>
      <c r="L827" s="18" t="s">
        <v>70</v>
      </c>
      <c r="M827" s="19">
        <v>46617</v>
      </c>
      <c r="N827" s="19">
        <v>0</v>
      </c>
      <c r="O827" s="19">
        <f t="shared" si="56"/>
        <v>7458720</v>
      </c>
      <c r="P827" s="17" t="s">
        <v>69</v>
      </c>
      <c r="R827" s="31"/>
    </row>
    <row r="828" spans="1:18" x14ac:dyDescent="0.3">
      <c r="A828" s="9" t="s">
        <v>1306</v>
      </c>
      <c r="B828" s="10" t="s">
        <v>1434</v>
      </c>
      <c r="C828" s="11" t="s">
        <v>1435</v>
      </c>
      <c r="D828" s="12">
        <v>44195</v>
      </c>
      <c r="E828" s="12">
        <v>44195</v>
      </c>
      <c r="F828" s="13">
        <v>8168040</v>
      </c>
      <c r="G828" s="14">
        <v>0</v>
      </c>
      <c r="H828" s="9" t="s">
        <v>172</v>
      </c>
      <c r="I828" s="15" t="s">
        <v>1436</v>
      </c>
      <c r="J828" s="16" t="s">
        <v>1962</v>
      </c>
      <c r="K828" s="17">
        <v>162</v>
      </c>
      <c r="L828" s="18" t="s">
        <v>70</v>
      </c>
      <c r="M828" s="19">
        <v>50420</v>
      </c>
      <c r="N828" s="19">
        <v>0</v>
      </c>
      <c r="O828" s="19">
        <f t="shared" si="56"/>
        <v>8168040</v>
      </c>
      <c r="P828" s="17" t="s">
        <v>69</v>
      </c>
      <c r="R828" s="31"/>
    </row>
    <row r="829" spans="1:18" x14ac:dyDescent="0.3">
      <c r="A829" s="9" t="s">
        <v>1437</v>
      </c>
      <c r="B829" s="10" t="s">
        <v>2070</v>
      </c>
      <c r="C829" s="11" t="s">
        <v>1438</v>
      </c>
      <c r="D829" s="12">
        <v>43477</v>
      </c>
      <c r="E829" s="12">
        <v>43800</v>
      </c>
      <c r="F829" s="13">
        <v>0</v>
      </c>
      <c r="G829" s="14">
        <v>67434392</v>
      </c>
      <c r="H829" s="9" t="s">
        <v>1439</v>
      </c>
      <c r="I829" s="15">
        <v>811044253</v>
      </c>
      <c r="J829" s="16" t="s">
        <v>1440</v>
      </c>
      <c r="K829" s="17">
        <v>400</v>
      </c>
      <c r="L829" s="18" t="s">
        <v>36</v>
      </c>
      <c r="M829" s="19">
        <v>7000</v>
      </c>
      <c r="N829" s="19">
        <v>0</v>
      </c>
      <c r="O829" s="19">
        <f t="shared" si="56"/>
        <v>2800000</v>
      </c>
      <c r="P829" s="17" t="s">
        <v>161</v>
      </c>
      <c r="R829" s="31"/>
    </row>
    <row r="830" spans="1:18" x14ac:dyDescent="0.3">
      <c r="A830" s="9" t="s">
        <v>1437</v>
      </c>
      <c r="B830" s="10" t="s">
        <v>2070</v>
      </c>
      <c r="C830" s="11" t="s">
        <v>1438</v>
      </c>
      <c r="D830" s="12">
        <v>43477</v>
      </c>
      <c r="E830" s="12">
        <v>43800</v>
      </c>
      <c r="F830" s="13">
        <v>0</v>
      </c>
      <c r="G830" s="14">
        <v>67434392</v>
      </c>
      <c r="H830" s="9" t="s">
        <v>1439</v>
      </c>
      <c r="I830" s="15">
        <v>811044253</v>
      </c>
      <c r="J830" s="16" t="s">
        <v>1441</v>
      </c>
      <c r="K830" s="17">
        <v>200</v>
      </c>
      <c r="L830" s="18" t="s">
        <v>36</v>
      </c>
      <c r="M830" s="19">
        <f>21840/2</f>
        <v>10920</v>
      </c>
      <c r="N830" s="19">
        <v>0</v>
      </c>
      <c r="O830" s="19">
        <f t="shared" si="56"/>
        <v>2184000</v>
      </c>
      <c r="P830" s="17" t="s">
        <v>161</v>
      </c>
      <c r="R830" s="31"/>
    </row>
    <row r="831" spans="1:18" x14ac:dyDescent="0.3">
      <c r="A831" s="9" t="s">
        <v>1437</v>
      </c>
      <c r="B831" s="10" t="s">
        <v>2070</v>
      </c>
      <c r="C831" s="11" t="s">
        <v>1438</v>
      </c>
      <c r="D831" s="12">
        <v>43477</v>
      </c>
      <c r="E831" s="12">
        <v>43800</v>
      </c>
      <c r="F831" s="13">
        <v>0</v>
      </c>
      <c r="G831" s="14">
        <v>67434392</v>
      </c>
      <c r="H831" s="9" t="s">
        <v>1439</v>
      </c>
      <c r="I831" s="15">
        <v>811044253</v>
      </c>
      <c r="J831" s="16" t="s">
        <v>1442</v>
      </c>
      <c r="K831" s="17">
        <v>300</v>
      </c>
      <c r="L831" s="18" t="s">
        <v>70</v>
      </c>
      <c r="M831" s="19">
        <v>53200</v>
      </c>
      <c r="N831" s="19">
        <v>0</v>
      </c>
      <c r="O831" s="19">
        <f t="shared" si="56"/>
        <v>15960000</v>
      </c>
      <c r="P831" s="17" t="s">
        <v>69</v>
      </c>
      <c r="R831" s="31"/>
    </row>
    <row r="832" spans="1:18" x14ac:dyDescent="0.3">
      <c r="A832" s="9" t="s">
        <v>1437</v>
      </c>
      <c r="B832" s="10" t="s">
        <v>2070</v>
      </c>
      <c r="C832" s="11" t="s">
        <v>1438</v>
      </c>
      <c r="D832" s="12">
        <v>43477</v>
      </c>
      <c r="E832" s="12">
        <v>43800</v>
      </c>
      <c r="F832" s="13">
        <v>0</v>
      </c>
      <c r="G832" s="14">
        <v>67434392</v>
      </c>
      <c r="H832" s="9" t="s">
        <v>1439</v>
      </c>
      <c r="I832" s="15">
        <v>811044253</v>
      </c>
      <c r="J832" s="16" t="s">
        <v>1443</v>
      </c>
      <c r="K832" s="17">
        <f>346/3</f>
        <v>115.33333333333333</v>
      </c>
      <c r="L832" s="29" t="s">
        <v>2135</v>
      </c>
      <c r="M832" s="19">
        <v>15600</v>
      </c>
      <c r="N832" s="19">
        <v>0</v>
      </c>
      <c r="O832" s="19">
        <f t="shared" si="56"/>
        <v>1799200</v>
      </c>
      <c r="P832" s="21" t="s">
        <v>656</v>
      </c>
      <c r="R832" s="31"/>
    </row>
    <row r="833" spans="1:18" x14ac:dyDescent="0.3">
      <c r="A833" s="9" t="s">
        <v>1437</v>
      </c>
      <c r="B833" s="10" t="s">
        <v>2070</v>
      </c>
      <c r="C833" s="11" t="s">
        <v>1438</v>
      </c>
      <c r="D833" s="12">
        <v>43477</v>
      </c>
      <c r="E833" s="12">
        <v>43800</v>
      </c>
      <c r="F833" s="13">
        <v>0</v>
      </c>
      <c r="G833" s="14">
        <v>67434392</v>
      </c>
      <c r="H833" s="9" t="s">
        <v>1439</v>
      </c>
      <c r="I833" s="15">
        <v>811044253</v>
      </c>
      <c r="J833" s="16" t="s">
        <v>1444</v>
      </c>
      <c r="K833" s="17">
        <v>168</v>
      </c>
      <c r="L833" s="18" t="s">
        <v>36</v>
      </c>
      <c r="M833" s="19">
        <v>19200</v>
      </c>
      <c r="N833" s="19">
        <v>0</v>
      </c>
      <c r="O833" s="19">
        <f t="shared" si="56"/>
        <v>3225600</v>
      </c>
      <c r="P833" s="17" t="s">
        <v>37</v>
      </c>
      <c r="R833" s="31"/>
    </row>
    <row r="834" spans="1:18" x14ac:dyDescent="0.3">
      <c r="A834" s="9" t="s">
        <v>1437</v>
      </c>
      <c r="B834" s="10" t="s">
        <v>2070</v>
      </c>
      <c r="C834" s="11" t="s">
        <v>1438</v>
      </c>
      <c r="D834" s="12">
        <v>43477</v>
      </c>
      <c r="E834" s="12">
        <v>43800</v>
      </c>
      <c r="F834" s="13">
        <v>0</v>
      </c>
      <c r="G834" s="14">
        <v>67434392</v>
      </c>
      <c r="H834" s="9" t="s">
        <v>1439</v>
      </c>
      <c r="I834" s="15">
        <v>811044253</v>
      </c>
      <c r="J834" s="16" t="s">
        <v>1445</v>
      </c>
      <c r="K834" s="17">
        <v>6000</v>
      </c>
      <c r="L834" s="18" t="s">
        <v>21</v>
      </c>
      <c r="M834" s="19">
        <v>3680</v>
      </c>
      <c r="N834" s="19">
        <v>0</v>
      </c>
      <c r="O834" s="19">
        <f t="shared" si="56"/>
        <v>22080000</v>
      </c>
      <c r="P834" s="17" t="s">
        <v>31</v>
      </c>
      <c r="R834" s="31"/>
    </row>
    <row r="835" spans="1:18" x14ac:dyDescent="0.3">
      <c r="A835" s="9" t="s">
        <v>1437</v>
      </c>
      <c r="B835" s="10" t="s">
        <v>2070</v>
      </c>
      <c r="C835" s="11" t="s">
        <v>1438</v>
      </c>
      <c r="D835" s="12">
        <v>43477</v>
      </c>
      <c r="E835" s="12">
        <v>43800</v>
      </c>
      <c r="F835" s="13">
        <v>0</v>
      </c>
      <c r="G835" s="14">
        <v>67434392</v>
      </c>
      <c r="H835" s="9" t="s">
        <v>1439</v>
      </c>
      <c r="I835" s="15">
        <v>811044253</v>
      </c>
      <c r="J835" s="16" t="s">
        <v>1446</v>
      </c>
      <c r="K835" s="17">
        <v>340</v>
      </c>
      <c r="L835" s="18" t="s">
        <v>21</v>
      </c>
      <c r="M835" s="19">
        <v>6300</v>
      </c>
      <c r="N835" s="19">
        <v>0</v>
      </c>
      <c r="O835" s="19">
        <f t="shared" ref="O835:O888" si="59">K835*(M835+N835)</f>
        <v>2142000</v>
      </c>
      <c r="P835" s="17" t="s">
        <v>412</v>
      </c>
      <c r="R835" s="31"/>
    </row>
    <row r="836" spans="1:18" x14ac:dyDescent="0.3">
      <c r="A836" s="9" t="s">
        <v>1437</v>
      </c>
      <c r="B836" s="10" t="s">
        <v>2070</v>
      </c>
      <c r="C836" s="11" t="s">
        <v>1438</v>
      </c>
      <c r="D836" s="12">
        <v>43477</v>
      </c>
      <c r="E836" s="12">
        <v>43800</v>
      </c>
      <c r="F836" s="13">
        <v>0</v>
      </c>
      <c r="G836" s="14">
        <v>67434392</v>
      </c>
      <c r="H836" s="9" t="s">
        <v>1439</v>
      </c>
      <c r="I836" s="15">
        <v>811044253</v>
      </c>
      <c r="J836" s="16" t="s">
        <v>1447</v>
      </c>
      <c r="K836" s="17">
        <v>150</v>
      </c>
      <c r="L836" s="18" t="s">
        <v>36</v>
      </c>
      <c r="M836" s="19">
        <v>77000</v>
      </c>
      <c r="N836" s="19">
        <v>0</v>
      </c>
      <c r="O836" s="19">
        <f t="shared" si="59"/>
        <v>11550000</v>
      </c>
      <c r="P836" s="17" t="s">
        <v>875</v>
      </c>
      <c r="R836" s="31"/>
    </row>
    <row r="837" spans="1:18" x14ac:dyDescent="0.3">
      <c r="A837" s="9" t="s">
        <v>1437</v>
      </c>
      <c r="B837" s="10" t="s">
        <v>2070</v>
      </c>
      <c r="C837" s="11" t="s">
        <v>1438</v>
      </c>
      <c r="D837" s="12">
        <v>43477</v>
      </c>
      <c r="E837" s="12">
        <v>43800</v>
      </c>
      <c r="F837" s="13">
        <v>0</v>
      </c>
      <c r="G837" s="14">
        <v>67434392</v>
      </c>
      <c r="H837" s="9" t="s">
        <v>1439</v>
      </c>
      <c r="I837" s="15">
        <v>811044253</v>
      </c>
      <c r="J837" s="16" t="s">
        <v>1448</v>
      </c>
      <c r="K837" s="17">
        <v>428</v>
      </c>
      <c r="L837" s="18" t="s">
        <v>21</v>
      </c>
      <c r="M837" s="19">
        <v>2944</v>
      </c>
      <c r="N837" s="19">
        <v>0</v>
      </c>
      <c r="O837" s="19">
        <f t="shared" si="59"/>
        <v>1260032</v>
      </c>
      <c r="P837" s="17" t="s">
        <v>869</v>
      </c>
      <c r="R837" s="31"/>
    </row>
    <row r="838" spans="1:18" x14ac:dyDescent="0.3">
      <c r="A838" s="9" t="s">
        <v>1437</v>
      </c>
      <c r="B838" s="10" t="s">
        <v>2070</v>
      </c>
      <c r="C838" s="11" t="s">
        <v>1438</v>
      </c>
      <c r="D838" s="12">
        <v>43477</v>
      </c>
      <c r="E838" s="12">
        <v>43800</v>
      </c>
      <c r="F838" s="13">
        <v>0</v>
      </c>
      <c r="G838" s="14">
        <v>67434392</v>
      </c>
      <c r="H838" s="9" t="s">
        <v>1439</v>
      </c>
      <c r="I838" s="15">
        <v>811044253</v>
      </c>
      <c r="J838" s="16" t="s">
        <v>1449</v>
      </c>
      <c r="K838" s="17">
        <v>424</v>
      </c>
      <c r="L838" s="18" t="s">
        <v>21</v>
      </c>
      <c r="M838" s="19">
        <v>2815</v>
      </c>
      <c r="N838" s="19">
        <v>0</v>
      </c>
      <c r="O838" s="19">
        <f t="shared" si="59"/>
        <v>1193560</v>
      </c>
      <c r="P838" s="17" t="s">
        <v>869</v>
      </c>
      <c r="R838" s="31"/>
    </row>
    <row r="839" spans="1:18" x14ac:dyDescent="0.3">
      <c r="A839" s="9" t="s">
        <v>1437</v>
      </c>
      <c r="B839" s="10" t="s">
        <v>2070</v>
      </c>
      <c r="C839" s="11" t="s">
        <v>1438</v>
      </c>
      <c r="D839" s="12">
        <v>43477</v>
      </c>
      <c r="E839" s="12">
        <v>43800</v>
      </c>
      <c r="F839" s="13">
        <v>0</v>
      </c>
      <c r="G839" s="14">
        <v>67434392</v>
      </c>
      <c r="H839" s="9" t="s">
        <v>1439</v>
      </c>
      <c r="I839" s="15">
        <v>811044253</v>
      </c>
      <c r="J839" s="16" t="s">
        <v>1450</v>
      </c>
      <c r="K839" s="17">
        <v>120</v>
      </c>
      <c r="L839" s="18" t="s">
        <v>21</v>
      </c>
      <c r="M839" s="19">
        <v>27000</v>
      </c>
      <c r="N839" s="19">
        <v>0</v>
      </c>
      <c r="O839" s="19">
        <f t="shared" si="59"/>
        <v>3240000</v>
      </c>
      <c r="P839" s="17" t="s">
        <v>22</v>
      </c>
      <c r="R839" s="31"/>
    </row>
    <row r="840" spans="1:18" x14ac:dyDescent="0.3">
      <c r="A840" s="9" t="s">
        <v>1437</v>
      </c>
      <c r="B840" s="10" t="s">
        <v>2071</v>
      </c>
      <c r="C840" s="11" t="s">
        <v>1821</v>
      </c>
      <c r="D840" s="12">
        <v>44131</v>
      </c>
      <c r="E840" s="12">
        <v>44131</v>
      </c>
      <c r="F840" s="13">
        <v>5745134</v>
      </c>
      <c r="G840" s="14">
        <v>0</v>
      </c>
      <c r="H840" s="9" t="s">
        <v>56</v>
      </c>
      <c r="I840" s="15" t="s">
        <v>1455</v>
      </c>
      <c r="J840" s="16" t="s">
        <v>1456</v>
      </c>
      <c r="K840" s="17">
        <v>100</v>
      </c>
      <c r="L840" s="18" t="s">
        <v>21</v>
      </c>
      <c r="M840" s="19">
        <v>48278.436974789918</v>
      </c>
      <c r="N840" s="19">
        <f>M840*0.19</f>
        <v>9172.9030252100838</v>
      </c>
      <c r="O840" s="19">
        <f t="shared" si="59"/>
        <v>5745134</v>
      </c>
      <c r="P840" s="17" t="s">
        <v>82</v>
      </c>
      <c r="R840" s="31"/>
    </row>
    <row r="841" spans="1:18" x14ac:dyDescent="0.3">
      <c r="A841" s="9" t="s">
        <v>1437</v>
      </c>
      <c r="B841" s="10" t="s">
        <v>2072</v>
      </c>
      <c r="C841" s="11" t="s">
        <v>1822</v>
      </c>
      <c r="D841" s="12">
        <v>44147</v>
      </c>
      <c r="E841" s="12">
        <v>44147</v>
      </c>
      <c r="F841" s="13">
        <v>2821426.73</v>
      </c>
      <c r="G841" s="14">
        <v>0</v>
      </c>
      <c r="H841" s="9" t="s">
        <v>1457</v>
      </c>
      <c r="I841" s="15" t="s">
        <v>1458</v>
      </c>
      <c r="J841" s="16" t="s">
        <v>1459</v>
      </c>
      <c r="K841" s="17">
        <v>900</v>
      </c>
      <c r="L841" s="18" t="s">
        <v>21</v>
      </c>
      <c r="M841" s="19">
        <v>3134.91</v>
      </c>
      <c r="N841" s="19">
        <v>0</v>
      </c>
      <c r="O841" s="19">
        <f t="shared" si="59"/>
        <v>2821419</v>
      </c>
      <c r="P841" s="17" t="s">
        <v>75</v>
      </c>
      <c r="R841" s="31"/>
    </row>
    <row r="842" spans="1:18" x14ac:dyDescent="0.3">
      <c r="A842" s="9" t="s">
        <v>1437</v>
      </c>
      <c r="B842" s="10" t="s">
        <v>2073</v>
      </c>
      <c r="C842" s="11" t="s">
        <v>1823</v>
      </c>
      <c r="D842" s="12">
        <v>44147</v>
      </c>
      <c r="E842" s="12">
        <v>44147</v>
      </c>
      <c r="F842" s="13">
        <v>23991043.460000001</v>
      </c>
      <c r="G842" s="14">
        <v>0</v>
      </c>
      <c r="H842" s="9" t="s">
        <v>1460</v>
      </c>
      <c r="I842" s="15" t="s">
        <v>1461</v>
      </c>
      <c r="J842" s="16" t="s">
        <v>734</v>
      </c>
      <c r="K842" s="17">
        <v>500</v>
      </c>
      <c r="L842" s="18" t="s">
        <v>70</v>
      </c>
      <c r="M842" s="19">
        <v>47982.080000000002</v>
      </c>
      <c r="N842" s="19">
        <v>0</v>
      </c>
      <c r="O842" s="19">
        <f t="shared" si="59"/>
        <v>23991040</v>
      </c>
      <c r="P842" s="17" t="s">
        <v>69</v>
      </c>
      <c r="R842" s="31"/>
    </row>
    <row r="843" spans="1:18" x14ac:dyDescent="0.3">
      <c r="A843" s="9" t="s">
        <v>1437</v>
      </c>
      <c r="B843" s="10" t="s">
        <v>2074</v>
      </c>
      <c r="C843" s="11" t="s">
        <v>1824</v>
      </c>
      <c r="D843" s="12">
        <v>44155</v>
      </c>
      <c r="E843" s="12">
        <v>44155</v>
      </c>
      <c r="F843" s="13">
        <v>15004982.41</v>
      </c>
      <c r="G843" s="14">
        <v>0</v>
      </c>
      <c r="H843" s="9" t="s">
        <v>1462</v>
      </c>
      <c r="I843" s="15" t="s">
        <v>1413</v>
      </c>
      <c r="J843" s="16" t="s">
        <v>1463</v>
      </c>
      <c r="K843" s="17">
        <v>500</v>
      </c>
      <c r="L843" s="18" t="s">
        <v>36</v>
      </c>
      <c r="M843" s="19">
        <v>4800.5600000000004</v>
      </c>
      <c r="N843" s="19">
        <v>0</v>
      </c>
      <c r="O843" s="19">
        <f t="shared" si="59"/>
        <v>2400280</v>
      </c>
      <c r="P843" s="17" t="s">
        <v>37</v>
      </c>
      <c r="R843" s="31"/>
    </row>
    <row r="844" spans="1:18" x14ac:dyDescent="0.3">
      <c r="A844" s="9" t="s">
        <v>1437</v>
      </c>
      <c r="B844" s="10" t="s">
        <v>2074</v>
      </c>
      <c r="C844" s="11" t="s">
        <v>1824</v>
      </c>
      <c r="D844" s="12">
        <v>44155</v>
      </c>
      <c r="E844" s="12">
        <v>44155</v>
      </c>
      <c r="F844" s="13">
        <v>15004982.41</v>
      </c>
      <c r="G844" s="14">
        <v>0</v>
      </c>
      <c r="H844" s="9" t="s">
        <v>1462</v>
      </c>
      <c r="I844" s="15" t="s">
        <v>1413</v>
      </c>
      <c r="J844" s="16" t="s">
        <v>1934</v>
      </c>
      <c r="K844" s="17">
        <f>2000/2</f>
        <v>1000</v>
      </c>
      <c r="L844" s="18" t="s">
        <v>36</v>
      </c>
      <c r="M844" s="19">
        <f>2602.6*2</f>
        <v>5205.2</v>
      </c>
      <c r="N844" s="19">
        <v>0</v>
      </c>
      <c r="O844" s="19">
        <f t="shared" si="59"/>
        <v>5205200</v>
      </c>
      <c r="P844" s="17" t="s">
        <v>39</v>
      </c>
      <c r="R844" s="31"/>
    </row>
    <row r="845" spans="1:18" x14ac:dyDescent="0.3">
      <c r="A845" s="9" t="s">
        <v>1437</v>
      </c>
      <c r="B845" s="10" t="s">
        <v>2074</v>
      </c>
      <c r="C845" s="11" t="s">
        <v>1824</v>
      </c>
      <c r="D845" s="12">
        <v>44155</v>
      </c>
      <c r="E845" s="12">
        <v>44155</v>
      </c>
      <c r="F845" s="13">
        <v>15004982.41</v>
      </c>
      <c r="G845" s="14">
        <v>0</v>
      </c>
      <c r="H845" s="9" t="s">
        <v>1462</v>
      </c>
      <c r="I845" s="15" t="s">
        <v>1413</v>
      </c>
      <c r="J845" s="16" t="s">
        <v>1464</v>
      </c>
      <c r="K845" s="17">
        <v>2000</v>
      </c>
      <c r="L845" s="29" t="s">
        <v>2135</v>
      </c>
      <c r="M845" s="19">
        <v>3199.54</v>
      </c>
      <c r="N845" s="19">
        <f>M845*0.19</f>
        <v>607.9126</v>
      </c>
      <c r="O845" s="19">
        <f t="shared" si="59"/>
        <v>7614905.2000000002</v>
      </c>
      <c r="P845" s="17" t="s">
        <v>656</v>
      </c>
      <c r="R845" s="31"/>
    </row>
    <row r="846" spans="1:18" x14ac:dyDescent="0.3">
      <c r="A846" s="9" t="s">
        <v>1437</v>
      </c>
      <c r="B846" s="10" t="s">
        <v>2075</v>
      </c>
      <c r="C846" s="11" t="s">
        <v>1825</v>
      </c>
      <c r="D846" s="12">
        <v>44155</v>
      </c>
      <c r="E846" s="12">
        <v>44155</v>
      </c>
      <c r="F846" s="13">
        <v>16823986</v>
      </c>
      <c r="G846" s="14">
        <v>0</v>
      </c>
      <c r="H846" s="9" t="s">
        <v>689</v>
      </c>
      <c r="I846" s="15">
        <v>52223268</v>
      </c>
      <c r="J846" s="16" t="s">
        <v>1465</v>
      </c>
      <c r="K846" s="17">
        <f>(2500*750)/1000</f>
        <v>1875</v>
      </c>
      <c r="L846" s="18" t="s">
        <v>36</v>
      </c>
      <c r="M846" s="19">
        <f>(6729*1000)/750</f>
        <v>8972</v>
      </c>
      <c r="N846" s="19">
        <v>0</v>
      </c>
      <c r="O846" s="19">
        <f t="shared" si="59"/>
        <v>16822500</v>
      </c>
      <c r="P846" s="17" t="s">
        <v>161</v>
      </c>
      <c r="R846" s="31"/>
    </row>
    <row r="847" spans="1:18" x14ac:dyDescent="0.3">
      <c r="A847" s="9" t="s">
        <v>1437</v>
      </c>
      <c r="B847" s="10" t="s">
        <v>2076</v>
      </c>
      <c r="C847" s="11" t="s">
        <v>1826</v>
      </c>
      <c r="D847" s="12">
        <v>44155</v>
      </c>
      <c r="E847" s="12">
        <v>44155</v>
      </c>
      <c r="F847" s="13">
        <v>6003591.8200000003</v>
      </c>
      <c r="G847" s="14">
        <v>0</v>
      </c>
      <c r="H847" s="9" t="s">
        <v>1466</v>
      </c>
      <c r="I847" s="15" t="s">
        <v>1467</v>
      </c>
      <c r="J847" s="16" t="s">
        <v>1468</v>
      </c>
      <c r="K847" s="17">
        <v>8</v>
      </c>
      <c r="L847" s="18" t="s">
        <v>21</v>
      </c>
      <c r="M847" s="19">
        <v>638775.5</v>
      </c>
      <c r="N847" s="19">
        <f t="shared" ref="N847:N853" si="60">M847*0.19</f>
        <v>121367.345</v>
      </c>
      <c r="O847" s="19">
        <f t="shared" si="59"/>
        <v>6081142.7599999998</v>
      </c>
      <c r="P847" s="17" t="s">
        <v>65</v>
      </c>
      <c r="R847" s="31"/>
    </row>
    <row r="848" spans="1:18" x14ac:dyDescent="0.3">
      <c r="A848" s="9" t="s">
        <v>1437</v>
      </c>
      <c r="B848" s="10" t="s">
        <v>2077</v>
      </c>
      <c r="C848" s="11" t="s">
        <v>1827</v>
      </c>
      <c r="D848" s="12">
        <v>44172</v>
      </c>
      <c r="E848" s="12">
        <v>44172</v>
      </c>
      <c r="F848" s="13">
        <v>8124286</v>
      </c>
      <c r="G848" s="14">
        <v>0</v>
      </c>
      <c r="H848" s="9" t="s">
        <v>1469</v>
      </c>
      <c r="I848" s="15" t="s">
        <v>1470</v>
      </c>
      <c r="J848" s="16" t="s">
        <v>1471</v>
      </c>
      <c r="K848" s="17">
        <v>100</v>
      </c>
      <c r="L848" s="18" t="s">
        <v>21</v>
      </c>
      <c r="M848" s="19">
        <v>68271.310924369755</v>
      </c>
      <c r="N848" s="19">
        <f t="shared" si="60"/>
        <v>12971.549075630253</v>
      </c>
      <c r="O848" s="19">
        <f t="shared" si="59"/>
        <v>8124286.0000000019</v>
      </c>
      <c r="P848" s="17" t="s">
        <v>328</v>
      </c>
      <c r="R848" s="31"/>
    </row>
    <row r="849" spans="1:19" x14ac:dyDescent="0.3">
      <c r="A849" s="9" t="s">
        <v>1472</v>
      </c>
      <c r="B849" s="10" t="s">
        <v>1473</v>
      </c>
      <c r="C849" s="11" t="s">
        <v>1474</v>
      </c>
      <c r="D849" s="12">
        <v>43914</v>
      </c>
      <c r="E849" s="12">
        <v>43914</v>
      </c>
      <c r="F849" s="13">
        <v>19313663</v>
      </c>
      <c r="G849" s="14">
        <v>0</v>
      </c>
      <c r="H849" s="9" t="s">
        <v>1475</v>
      </c>
      <c r="I849" s="15">
        <v>92511814</v>
      </c>
      <c r="J849" s="16" t="s">
        <v>1476</v>
      </c>
      <c r="K849" s="17">
        <v>229</v>
      </c>
      <c r="L849" s="18" t="s">
        <v>21</v>
      </c>
      <c r="M849" s="19">
        <v>34061</v>
      </c>
      <c r="N849" s="19">
        <f t="shared" si="60"/>
        <v>6471.59</v>
      </c>
      <c r="O849" s="19">
        <f t="shared" si="59"/>
        <v>9281963.1099999994</v>
      </c>
      <c r="P849" s="17" t="s">
        <v>22</v>
      </c>
      <c r="R849" s="31"/>
    </row>
    <row r="850" spans="1:19" x14ac:dyDescent="0.3">
      <c r="A850" s="9" t="s">
        <v>1472</v>
      </c>
      <c r="B850" s="10" t="s">
        <v>1473</v>
      </c>
      <c r="C850" s="11" t="s">
        <v>1474</v>
      </c>
      <c r="D850" s="12">
        <v>43914</v>
      </c>
      <c r="E850" s="12">
        <v>43914</v>
      </c>
      <c r="F850" s="13">
        <v>19313663</v>
      </c>
      <c r="G850" s="14">
        <v>0</v>
      </c>
      <c r="H850" s="9" t="s">
        <v>1475</v>
      </c>
      <c r="I850" s="15">
        <v>92511814</v>
      </c>
      <c r="J850" s="16" t="s">
        <v>1477</v>
      </c>
      <c r="K850" s="17">
        <v>1500</v>
      </c>
      <c r="L850" s="18" t="s">
        <v>21</v>
      </c>
      <c r="M850" s="19">
        <v>4200</v>
      </c>
      <c r="N850" s="19">
        <f t="shared" si="60"/>
        <v>798</v>
      </c>
      <c r="O850" s="19">
        <f t="shared" si="59"/>
        <v>7497000</v>
      </c>
      <c r="P850" s="17" t="s">
        <v>31</v>
      </c>
      <c r="R850" s="31"/>
    </row>
    <row r="851" spans="1:19" x14ac:dyDescent="0.3">
      <c r="A851" s="9" t="s">
        <v>1472</v>
      </c>
      <c r="B851" s="10" t="s">
        <v>1473</v>
      </c>
      <c r="C851" s="11" t="s">
        <v>1474</v>
      </c>
      <c r="D851" s="12">
        <v>43914</v>
      </c>
      <c r="E851" s="12">
        <v>43914</v>
      </c>
      <c r="F851" s="13">
        <v>19313663</v>
      </c>
      <c r="G851" s="14">
        <v>0</v>
      </c>
      <c r="H851" s="9" t="s">
        <v>1475</v>
      </c>
      <c r="I851" s="15">
        <v>92511814</v>
      </c>
      <c r="J851" s="16" t="s">
        <v>1478</v>
      </c>
      <c r="K851" s="17">
        <v>120</v>
      </c>
      <c r="L851" s="29" t="s">
        <v>2135</v>
      </c>
      <c r="M851" s="19">
        <v>14000</v>
      </c>
      <c r="N851" s="19">
        <f t="shared" si="60"/>
        <v>2660</v>
      </c>
      <c r="O851" s="19">
        <f t="shared" si="59"/>
        <v>1999200</v>
      </c>
      <c r="P851" s="21" t="s">
        <v>656</v>
      </c>
      <c r="R851" s="31"/>
    </row>
    <row r="852" spans="1:19" x14ac:dyDescent="0.3">
      <c r="A852" s="9" t="s">
        <v>1472</v>
      </c>
      <c r="B852" s="10" t="s">
        <v>1473</v>
      </c>
      <c r="C852" s="11" t="s">
        <v>1474</v>
      </c>
      <c r="D852" s="12">
        <v>43914</v>
      </c>
      <c r="E852" s="12">
        <v>43914</v>
      </c>
      <c r="F852" s="13">
        <v>19313663</v>
      </c>
      <c r="G852" s="14">
        <v>0</v>
      </c>
      <c r="H852" s="9" t="s">
        <v>1475</v>
      </c>
      <c r="I852" s="15">
        <v>92511814</v>
      </c>
      <c r="J852" s="16" t="s">
        <v>1479</v>
      </c>
      <c r="K852" s="17">
        <v>10</v>
      </c>
      <c r="L852" s="18" t="s">
        <v>70</v>
      </c>
      <c r="M852" s="19">
        <v>45000</v>
      </c>
      <c r="N852" s="19">
        <f t="shared" si="60"/>
        <v>8550</v>
      </c>
      <c r="O852" s="19">
        <f t="shared" si="59"/>
        <v>535500</v>
      </c>
      <c r="P852" s="17" t="s">
        <v>145</v>
      </c>
      <c r="R852" s="31"/>
    </row>
    <row r="853" spans="1:19" x14ac:dyDescent="0.3">
      <c r="A853" s="9" t="s">
        <v>1472</v>
      </c>
      <c r="B853" s="10" t="s">
        <v>1480</v>
      </c>
      <c r="C853" s="11" t="s">
        <v>1474</v>
      </c>
      <c r="D853" s="12">
        <v>43914</v>
      </c>
      <c r="E853" s="12">
        <v>43914</v>
      </c>
      <c r="F853" s="13">
        <v>0</v>
      </c>
      <c r="G853" s="14">
        <v>4134324</v>
      </c>
      <c r="H853" s="9" t="s">
        <v>1475</v>
      </c>
      <c r="I853" s="15">
        <v>92511814</v>
      </c>
      <c r="J853" s="16" t="s">
        <v>1476</v>
      </c>
      <c r="K853" s="17">
        <v>102</v>
      </c>
      <c r="L853" s="18" t="s">
        <v>21</v>
      </c>
      <c r="M853" s="19">
        <v>34061</v>
      </c>
      <c r="N853" s="19">
        <f t="shared" si="60"/>
        <v>6471.59</v>
      </c>
      <c r="O853" s="19">
        <f t="shared" si="59"/>
        <v>4134324.1799999997</v>
      </c>
      <c r="P853" s="17" t="s">
        <v>22</v>
      </c>
      <c r="R853" s="31"/>
    </row>
    <row r="854" spans="1:19" x14ac:dyDescent="0.3">
      <c r="A854" s="9" t="s">
        <v>1472</v>
      </c>
      <c r="B854" s="10" t="s">
        <v>1481</v>
      </c>
      <c r="C854" s="11" t="s">
        <v>1482</v>
      </c>
      <c r="D854" s="12">
        <v>43917</v>
      </c>
      <c r="E854" s="12">
        <v>43917</v>
      </c>
      <c r="F854" s="13">
        <v>56500000</v>
      </c>
      <c r="G854" s="14">
        <v>0</v>
      </c>
      <c r="H854" s="9" t="s">
        <v>1483</v>
      </c>
      <c r="I854" s="15">
        <v>92640352</v>
      </c>
      <c r="J854" s="16" t="s">
        <v>1484</v>
      </c>
      <c r="K854" s="17">
        <v>30</v>
      </c>
      <c r="L854" s="18" t="s">
        <v>21</v>
      </c>
      <c r="M854" s="19">
        <v>1685000</v>
      </c>
      <c r="N854" s="19">
        <v>0</v>
      </c>
      <c r="O854" s="19">
        <f t="shared" si="59"/>
        <v>50550000</v>
      </c>
      <c r="P854" s="17" t="s">
        <v>215</v>
      </c>
      <c r="R854" s="31"/>
    </row>
    <row r="855" spans="1:19" x14ac:dyDescent="0.3">
      <c r="A855" s="9" t="s">
        <v>1472</v>
      </c>
      <c r="B855" s="10" t="s">
        <v>1481</v>
      </c>
      <c r="C855" s="11" t="s">
        <v>1482</v>
      </c>
      <c r="D855" s="12">
        <v>43917</v>
      </c>
      <c r="E855" s="12">
        <v>43917</v>
      </c>
      <c r="F855" s="13">
        <v>56500000</v>
      </c>
      <c r="G855" s="14">
        <v>0</v>
      </c>
      <c r="H855" s="9" t="s">
        <v>1483</v>
      </c>
      <c r="I855" s="15">
        <v>92640352</v>
      </c>
      <c r="J855" s="16" t="s">
        <v>1485</v>
      </c>
      <c r="K855" s="17">
        <v>20</v>
      </c>
      <c r="L855" s="18" t="s">
        <v>92</v>
      </c>
      <c r="M855" s="19">
        <v>250000</v>
      </c>
      <c r="N855" s="19">
        <f>M855*0.19</f>
        <v>47500</v>
      </c>
      <c r="O855" s="19">
        <f t="shared" si="59"/>
        <v>5950000</v>
      </c>
      <c r="P855" s="17" t="s">
        <v>229</v>
      </c>
      <c r="R855" s="31"/>
    </row>
    <row r="856" spans="1:19" x14ac:dyDescent="0.3">
      <c r="A856" s="9" t="s">
        <v>1472</v>
      </c>
      <c r="B856" s="10" t="s">
        <v>1486</v>
      </c>
      <c r="C856" s="11" t="s">
        <v>1474</v>
      </c>
      <c r="D856" s="12">
        <v>43937</v>
      </c>
      <c r="E856" s="12">
        <v>43937</v>
      </c>
      <c r="F856" s="13">
        <v>36963400</v>
      </c>
      <c r="G856" s="14">
        <v>0</v>
      </c>
      <c r="H856" s="9" t="s">
        <v>1487</v>
      </c>
      <c r="I856" s="15">
        <v>901008660</v>
      </c>
      <c r="J856" s="16" t="s">
        <v>1488</v>
      </c>
      <c r="K856" s="17">
        <v>200</v>
      </c>
      <c r="L856" s="18" t="s">
        <v>21</v>
      </c>
      <c r="M856" s="19">
        <v>5882</v>
      </c>
      <c r="N856" s="19">
        <v>0</v>
      </c>
      <c r="O856" s="19">
        <f t="shared" si="59"/>
        <v>1176400</v>
      </c>
      <c r="P856" s="17" t="s">
        <v>412</v>
      </c>
      <c r="R856" s="31"/>
    </row>
    <row r="857" spans="1:19" s="54" customFormat="1" x14ac:dyDescent="0.3">
      <c r="A857" s="9" t="s">
        <v>1472</v>
      </c>
      <c r="B857" s="10" t="s">
        <v>1486</v>
      </c>
      <c r="C857" s="11" t="s">
        <v>1474</v>
      </c>
      <c r="D857" s="12">
        <v>43937</v>
      </c>
      <c r="E857" s="12">
        <v>43937</v>
      </c>
      <c r="F857" s="13">
        <v>36963400</v>
      </c>
      <c r="G857" s="14">
        <v>0</v>
      </c>
      <c r="H857" s="9" t="s">
        <v>1487</v>
      </c>
      <c r="I857" s="15">
        <v>901008660</v>
      </c>
      <c r="J857" s="16" t="s">
        <v>1489</v>
      </c>
      <c r="K857" s="17">
        <v>12000</v>
      </c>
      <c r="L857" s="18" t="s">
        <v>21</v>
      </c>
      <c r="M857" s="19">
        <v>2352</v>
      </c>
      <c r="N857" s="19">
        <v>0</v>
      </c>
      <c r="O857" s="19">
        <f t="shared" si="59"/>
        <v>28224000</v>
      </c>
      <c r="P857" s="17" t="s">
        <v>31</v>
      </c>
      <c r="Q857" s="13"/>
      <c r="R857" s="52"/>
      <c r="S857" s="53"/>
    </row>
    <row r="858" spans="1:19" s="54" customFormat="1" x14ac:dyDescent="0.3">
      <c r="A858" s="9" t="s">
        <v>1472</v>
      </c>
      <c r="B858" s="10" t="s">
        <v>1486</v>
      </c>
      <c r="C858" s="11" t="s">
        <v>1474</v>
      </c>
      <c r="D858" s="12">
        <v>43937</v>
      </c>
      <c r="E858" s="12">
        <v>43937</v>
      </c>
      <c r="F858" s="13">
        <v>36963400</v>
      </c>
      <c r="G858" s="14">
        <v>0</v>
      </c>
      <c r="H858" s="9" t="s">
        <v>1487</v>
      </c>
      <c r="I858" s="15">
        <v>901008660</v>
      </c>
      <c r="J858" s="16" t="s">
        <v>1490</v>
      </c>
      <c r="K858" s="17">
        <v>200</v>
      </c>
      <c r="L858" s="29" t="s">
        <v>70</v>
      </c>
      <c r="M858" s="19">
        <v>37815</v>
      </c>
      <c r="N858" s="19">
        <v>0</v>
      </c>
      <c r="O858" s="19">
        <f t="shared" si="59"/>
        <v>7563000</v>
      </c>
      <c r="P858" s="17" t="s">
        <v>69</v>
      </c>
      <c r="Q858" s="13"/>
      <c r="R858" s="52"/>
      <c r="S858" s="53"/>
    </row>
    <row r="859" spans="1:19" s="54" customFormat="1" x14ac:dyDescent="0.3">
      <c r="A859" s="9" t="s">
        <v>1472</v>
      </c>
      <c r="B859" s="10" t="s">
        <v>1491</v>
      </c>
      <c r="C859" s="11" t="s">
        <v>1492</v>
      </c>
      <c r="D859" s="12">
        <v>43977</v>
      </c>
      <c r="E859" s="12">
        <v>43978</v>
      </c>
      <c r="F859" s="13">
        <v>3800000</v>
      </c>
      <c r="G859" s="14">
        <v>0</v>
      </c>
      <c r="H859" s="9" t="s">
        <v>1493</v>
      </c>
      <c r="I859" s="15">
        <v>52516254</v>
      </c>
      <c r="J859" s="16" t="s">
        <v>1494</v>
      </c>
      <c r="K859" s="17">
        <v>1</v>
      </c>
      <c r="L859" s="18" t="s">
        <v>21</v>
      </c>
      <c r="M859" s="19">
        <v>3800000</v>
      </c>
      <c r="N859" s="19">
        <v>0</v>
      </c>
      <c r="O859" s="19">
        <f t="shared" si="59"/>
        <v>3800000</v>
      </c>
      <c r="P859" s="17" t="s">
        <v>1495</v>
      </c>
      <c r="Q859" s="13"/>
      <c r="R859" s="52"/>
      <c r="S859" s="53"/>
    </row>
    <row r="860" spans="1:19" s="54" customFormat="1" x14ac:dyDescent="0.3">
      <c r="A860" s="9" t="s">
        <v>1472</v>
      </c>
      <c r="B860" s="10" t="s">
        <v>1496</v>
      </c>
      <c r="C860" s="11" t="s">
        <v>1497</v>
      </c>
      <c r="D860" s="12">
        <v>43979</v>
      </c>
      <c r="E860" s="12">
        <v>43980</v>
      </c>
      <c r="F860" s="13">
        <v>12842000</v>
      </c>
      <c r="G860" s="14">
        <v>0</v>
      </c>
      <c r="H860" s="9" t="s">
        <v>1498</v>
      </c>
      <c r="I860" s="15">
        <v>900151140</v>
      </c>
      <c r="J860" s="16" t="s">
        <v>1499</v>
      </c>
      <c r="K860" s="17">
        <v>23</v>
      </c>
      <c r="L860" s="18" t="s">
        <v>327</v>
      </c>
      <c r="M860" s="19">
        <v>325000</v>
      </c>
      <c r="N860" s="19">
        <v>0</v>
      </c>
      <c r="O860" s="19">
        <f t="shared" si="59"/>
        <v>7475000</v>
      </c>
      <c r="P860" s="17" t="s">
        <v>328</v>
      </c>
      <c r="Q860" s="13"/>
      <c r="R860" s="52"/>
      <c r="S860" s="53"/>
    </row>
    <row r="861" spans="1:19" x14ac:dyDescent="0.3">
      <c r="A861" s="9" t="s">
        <v>1472</v>
      </c>
      <c r="B861" s="10" t="s">
        <v>1496</v>
      </c>
      <c r="C861" s="11" t="s">
        <v>1497</v>
      </c>
      <c r="D861" s="12">
        <v>43979</v>
      </c>
      <c r="E861" s="12">
        <v>43980</v>
      </c>
      <c r="F861" s="13">
        <v>12842000</v>
      </c>
      <c r="G861" s="14">
        <v>0</v>
      </c>
      <c r="H861" s="9" t="s">
        <v>1498</v>
      </c>
      <c r="I861" s="15">
        <v>900151140</v>
      </c>
      <c r="J861" s="16" t="s">
        <v>1500</v>
      </c>
      <c r="K861" s="17">
        <v>6</v>
      </c>
      <c r="L861" s="18" t="s">
        <v>327</v>
      </c>
      <c r="M861" s="19">
        <v>532000</v>
      </c>
      <c r="N861" s="19">
        <v>0</v>
      </c>
      <c r="O861" s="19">
        <f t="shared" si="59"/>
        <v>3192000</v>
      </c>
      <c r="P861" s="17" t="s">
        <v>328</v>
      </c>
      <c r="Q861" s="13"/>
      <c r="R861" s="31"/>
    </row>
    <row r="862" spans="1:19" x14ac:dyDescent="0.3">
      <c r="A862" s="9" t="s">
        <v>1472</v>
      </c>
      <c r="B862" s="10" t="s">
        <v>1496</v>
      </c>
      <c r="C862" s="11" t="s">
        <v>1497</v>
      </c>
      <c r="D862" s="12">
        <v>43979</v>
      </c>
      <c r="E862" s="12">
        <v>43980</v>
      </c>
      <c r="F862" s="13">
        <v>12842000</v>
      </c>
      <c r="G862" s="14">
        <v>0</v>
      </c>
      <c r="H862" s="9" t="s">
        <v>1498</v>
      </c>
      <c r="I862" s="15">
        <v>900151140</v>
      </c>
      <c r="J862" s="16" t="s">
        <v>1501</v>
      </c>
      <c r="K862" s="17">
        <v>130.5</v>
      </c>
      <c r="L862" s="18" t="s">
        <v>36</v>
      </c>
      <c r="M862" s="19">
        <v>16667</v>
      </c>
      <c r="N862" s="19">
        <v>0</v>
      </c>
      <c r="O862" s="19">
        <f t="shared" si="59"/>
        <v>2175043.5</v>
      </c>
      <c r="P862" s="17" t="s">
        <v>37</v>
      </c>
      <c r="R862" s="31"/>
    </row>
    <row r="863" spans="1:19" x14ac:dyDescent="0.3">
      <c r="A863" s="9" t="s">
        <v>1472</v>
      </c>
      <c r="B863" s="10" t="s">
        <v>1502</v>
      </c>
      <c r="C863" s="11" t="s">
        <v>1503</v>
      </c>
      <c r="D863" s="12">
        <v>43980</v>
      </c>
      <c r="E863" s="12">
        <v>43980</v>
      </c>
      <c r="F863" s="13">
        <v>3624000</v>
      </c>
      <c r="G863" s="14">
        <v>0</v>
      </c>
      <c r="H863" s="9" t="s">
        <v>1504</v>
      </c>
      <c r="I863" s="15">
        <v>16471150</v>
      </c>
      <c r="J863" s="16" t="s">
        <v>1505</v>
      </c>
      <c r="K863" s="17">
        <v>995</v>
      </c>
      <c r="L863" s="18" t="s">
        <v>21</v>
      </c>
      <c r="M863" s="19">
        <v>3642.211055276382</v>
      </c>
      <c r="N863" s="19">
        <v>0</v>
      </c>
      <c r="O863" s="19">
        <f t="shared" si="59"/>
        <v>3624000</v>
      </c>
      <c r="P863" s="17" t="s">
        <v>257</v>
      </c>
      <c r="R863" s="31"/>
    </row>
    <row r="864" spans="1:19" x14ac:dyDescent="0.3">
      <c r="A864" s="9" t="s">
        <v>1472</v>
      </c>
      <c r="B864" s="10" t="s">
        <v>1506</v>
      </c>
      <c r="C864" s="11" t="s">
        <v>1507</v>
      </c>
      <c r="D864" s="12">
        <v>43990</v>
      </c>
      <c r="E864" s="12">
        <v>43990</v>
      </c>
      <c r="F864" s="13">
        <v>2909550</v>
      </c>
      <c r="G864" s="14">
        <v>0</v>
      </c>
      <c r="H864" s="9" t="s">
        <v>1508</v>
      </c>
      <c r="I864" s="15">
        <v>22866793</v>
      </c>
      <c r="J864" s="16" t="s">
        <v>1509</v>
      </c>
      <c r="K864" s="17">
        <v>15</v>
      </c>
      <c r="L864" s="18" t="s">
        <v>21</v>
      </c>
      <c r="M864" s="19">
        <v>163000</v>
      </c>
      <c r="N864" s="19">
        <f>M864*0.19</f>
        <v>30970</v>
      </c>
      <c r="O864" s="19">
        <f t="shared" si="59"/>
        <v>2909550</v>
      </c>
      <c r="P864" s="17" t="s">
        <v>82</v>
      </c>
      <c r="R864" s="31"/>
    </row>
    <row r="865" spans="1:19" x14ac:dyDescent="0.3">
      <c r="A865" s="9" t="s">
        <v>1472</v>
      </c>
      <c r="B865" s="10" t="s">
        <v>1510</v>
      </c>
      <c r="C865" s="11" t="s">
        <v>1511</v>
      </c>
      <c r="D865" s="12">
        <v>44001</v>
      </c>
      <c r="E865" s="12">
        <v>44001</v>
      </c>
      <c r="F865" s="13">
        <v>36300000</v>
      </c>
      <c r="G865" s="14">
        <v>0</v>
      </c>
      <c r="H865" s="9" t="s">
        <v>1512</v>
      </c>
      <c r="I865" s="15">
        <v>92501255</v>
      </c>
      <c r="J865" s="16" t="s">
        <v>1513</v>
      </c>
      <c r="K865" s="17">
        <v>22</v>
      </c>
      <c r="L865" s="18" t="s">
        <v>21</v>
      </c>
      <c r="M865" s="19">
        <v>1650000</v>
      </c>
      <c r="N865" s="19">
        <v>0</v>
      </c>
      <c r="O865" s="19">
        <f t="shared" si="59"/>
        <v>36300000</v>
      </c>
      <c r="P865" s="17" t="s">
        <v>65</v>
      </c>
      <c r="R865" s="31"/>
    </row>
    <row r="866" spans="1:19" s="54" customFormat="1" x14ac:dyDescent="0.3">
      <c r="A866" s="9" t="s">
        <v>1472</v>
      </c>
      <c r="B866" s="10" t="s">
        <v>1514</v>
      </c>
      <c r="C866" s="11" t="s">
        <v>1492</v>
      </c>
      <c r="D866" s="12">
        <v>44001</v>
      </c>
      <c r="E866" s="12">
        <v>43978</v>
      </c>
      <c r="F866" s="13">
        <v>0</v>
      </c>
      <c r="G866" s="14">
        <v>2700000</v>
      </c>
      <c r="H866" s="9" t="s">
        <v>1493</v>
      </c>
      <c r="I866" s="15">
        <v>52516254</v>
      </c>
      <c r="J866" s="16" t="s">
        <v>1494</v>
      </c>
      <c r="K866" s="17">
        <v>1</v>
      </c>
      <c r="L866" s="18" t="s">
        <v>21</v>
      </c>
      <c r="M866" s="19">
        <v>2700000</v>
      </c>
      <c r="N866" s="19">
        <v>0</v>
      </c>
      <c r="O866" s="19">
        <f t="shared" si="59"/>
        <v>2700000</v>
      </c>
      <c r="P866" s="17" t="s">
        <v>1495</v>
      </c>
      <c r="Q866" s="13"/>
      <c r="R866" s="52"/>
      <c r="S866" s="53"/>
    </row>
    <row r="867" spans="1:19" x14ac:dyDescent="0.3">
      <c r="A867" s="9" t="s">
        <v>1472</v>
      </c>
      <c r="B867" s="10" t="s">
        <v>1515</v>
      </c>
      <c r="C867" s="11" t="s">
        <v>1516</v>
      </c>
      <c r="D867" s="12">
        <v>44012</v>
      </c>
      <c r="E867" s="12">
        <v>44012</v>
      </c>
      <c r="F867" s="13">
        <v>3120000</v>
      </c>
      <c r="G867" s="14">
        <v>0</v>
      </c>
      <c r="H867" s="9" t="s">
        <v>1517</v>
      </c>
      <c r="I867" s="15">
        <v>92527655</v>
      </c>
      <c r="J867" s="16" t="s">
        <v>1518</v>
      </c>
      <c r="K867" s="17">
        <v>8</v>
      </c>
      <c r="L867" s="18" t="s">
        <v>631</v>
      </c>
      <c r="M867" s="19">
        <v>63025</v>
      </c>
      <c r="N867" s="19">
        <f t="shared" ref="N867:N872" si="61">M867*0.19</f>
        <v>11974.75</v>
      </c>
      <c r="O867" s="19">
        <f t="shared" si="59"/>
        <v>599998</v>
      </c>
      <c r="P867" s="17" t="s">
        <v>257</v>
      </c>
      <c r="R867" s="31"/>
    </row>
    <row r="868" spans="1:19" x14ac:dyDescent="0.3">
      <c r="A868" s="9" t="s">
        <v>1472</v>
      </c>
      <c r="B868" s="10" t="s">
        <v>1515</v>
      </c>
      <c r="C868" s="11" t="s">
        <v>1516</v>
      </c>
      <c r="D868" s="12">
        <v>44012</v>
      </c>
      <c r="E868" s="12">
        <v>44012</v>
      </c>
      <c r="F868" s="13">
        <v>3120000</v>
      </c>
      <c r="G868" s="14">
        <v>0</v>
      </c>
      <c r="H868" s="9" t="s">
        <v>1517</v>
      </c>
      <c r="I868" s="15">
        <v>92527655</v>
      </c>
      <c r="J868" s="16" t="s">
        <v>1519</v>
      </c>
      <c r="K868" s="17">
        <v>40</v>
      </c>
      <c r="L868" s="18" t="s">
        <v>1520</v>
      </c>
      <c r="M868" s="19">
        <v>25210.084033613446</v>
      </c>
      <c r="N868" s="19">
        <f t="shared" si="61"/>
        <v>4789.9159663865548</v>
      </c>
      <c r="O868" s="19">
        <f t="shared" si="59"/>
        <v>1200000</v>
      </c>
      <c r="P868" s="17" t="s">
        <v>257</v>
      </c>
      <c r="R868" s="31"/>
    </row>
    <row r="869" spans="1:19" x14ac:dyDescent="0.3">
      <c r="A869" s="9" t="s">
        <v>1472</v>
      </c>
      <c r="B869" s="10" t="s">
        <v>1515</v>
      </c>
      <c r="C869" s="11" t="s">
        <v>1516</v>
      </c>
      <c r="D869" s="12">
        <v>44012</v>
      </c>
      <c r="E869" s="12">
        <v>44012</v>
      </c>
      <c r="F869" s="13">
        <v>3120000</v>
      </c>
      <c r="G869" s="14">
        <v>0</v>
      </c>
      <c r="H869" s="9" t="s">
        <v>1517</v>
      </c>
      <c r="I869" s="15">
        <v>92527655</v>
      </c>
      <c r="J869" s="16" t="s">
        <v>1521</v>
      </c>
      <c r="K869" s="17">
        <v>60</v>
      </c>
      <c r="L869" s="18" t="s">
        <v>1522</v>
      </c>
      <c r="M869" s="19">
        <v>18487.394957983193</v>
      </c>
      <c r="N869" s="19">
        <f t="shared" si="61"/>
        <v>3512.6050420168067</v>
      </c>
      <c r="O869" s="19">
        <f t="shared" si="59"/>
        <v>1320000</v>
      </c>
      <c r="P869" s="17" t="s">
        <v>257</v>
      </c>
      <c r="R869" s="31"/>
    </row>
    <row r="870" spans="1:19" x14ac:dyDescent="0.3">
      <c r="A870" s="9" t="s">
        <v>1472</v>
      </c>
      <c r="B870" s="10" t="s">
        <v>1523</v>
      </c>
      <c r="C870" s="11" t="s">
        <v>1524</v>
      </c>
      <c r="D870" s="12">
        <v>44022</v>
      </c>
      <c r="E870" s="12">
        <v>44025</v>
      </c>
      <c r="F870" s="13">
        <v>140991200</v>
      </c>
      <c r="G870" s="14">
        <v>0</v>
      </c>
      <c r="H870" s="9" t="s">
        <v>1525</v>
      </c>
      <c r="I870" s="15">
        <v>900564459</v>
      </c>
      <c r="J870" s="16" t="s">
        <v>1935</v>
      </c>
      <c r="K870" s="17">
        <v>300</v>
      </c>
      <c r="L870" s="18" t="s">
        <v>21</v>
      </c>
      <c r="M870" s="19">
        <v>330000</v>
      </c>
      <c r="N870" s="19">
        <f t="shared" si="61"/>
        <v>62700</v>
      </c>
      <c r="O870" s="19">
        <f t="shared" si="59"/>
        <v>117810000</v>
      </c>
      <c r="P870" s="16" t="s">
        <v>119</v>
      </c>
      <c r="R870" s="31"/>
    </row>
    <row r="871" spans="1:19" x14ac:dyDescent="0.3">
      <c r="A871" s="9" t="s">
        <v>1472</v>
      </c>
      <c r="B871" s="10" t="s">
        <v>1523</v>
      </c>
      <c r="C871" s="11" t="s">
        <v>1524</v>
      </c>
      <c r="D871" s="12">
        <v>44022</v>
      </c>
      <c r="E871" s="12">
        <v>44025</v>
      </c>
      <c r="F871" s="13">
        <v>140991200</v>
      </c>
      <c r="G871" s="14">
        <v>0</v>
      </c>
      <c r="H871" s="9" t="s">
        <v>1525</v>
      </c>
      <c r="I871" s="15">
        <v>900564459</v>
      </c>
      <c r="J871" s="16" t="s">
        <v>1936</v>
      </c>
      <c r="K871" s="17">
        <v>300</v>
      </c>
      <c r="L871" s="18" t="s">
        <v>24</v>
      </c>
      <c r="M871" s="19">
        <v>43600</v>
      </c>
      <c r="N871" s="19">
        <f t="shared" si="61"/>
        <v>8284</v>
      </c>
      <c r="O871" s="19">
        <f t="shared" si="59"/>
        <v>15565200</v>
      </c>
      <c r="P871" s="17" t="s">
        <v>1526</v>
      </c>
      <c r="R871" s="31"/>
    </row>
    <row r="872" spans="1:19" x14ac:dyDescent="0.3">
      <c r="A872" s="9" t="s">
        <v>1472</v>
      </c>
      <c r="B872" s="10" t="s">
        <v>1523</v>
      </c>
      <c r="C872" s="11" t="s">
        <v>1524</v>
      </c>
      <c r="D872" s="12">
        <v>44022</v>
      </c>
      <c r="E872" s="12">
        <v>44025</v>
      </c>
      <c r="F872" s="13">
        <v>140991200</v>
      </c>
      <c r="G872" s="14">
        <v>0</v>
      </c>
      <c r="H872" s="9" t="s">
        <v>1525</v>
      </c>
      <c r="I872" s="15">
        <v>900564459</v>
      </c>
      <c r="J872" s="16" t="s">
        <v>1937</v>
      </c>
      <c r="K872" s="17">
        <v>8</v>
      </c>
      <c r="L872" s="18" t="s">
        <v>21</v>
      </c>
      <c r="M872" s="19">
        <v>800000</v>
      </c>
      <c r="N872" s="19">
        <f t="shared" si="61"/>
        <v>152000</v>
      </c>
      <c r="O872" s="19">
        <f t="shared" si="59"/>
        <v>7616000</v>
      </c>
      <c r="P872" s="17" t="s">
        <v>1527</v>
      </c>
      <c r="R872" s="31"/>
    </row>
    <row r="873" spans="1:19" x14ac:dyDescent="0.3">
      <c r="A873" s="9" t="s">
        <v>1472</v>
      </c>
      <c r="B873" s="10" t="s">
        <v>1528</v>
      </c>
      <c r="C873" s="11" t="s">
        <v>1529</v>
      </c>
      <c r="D873" s="12">
        <v>43971</v>
      </c>
      <c r="E873" s="12">
        <v>43971</v>
      </c>
      <c r="F873" s="13">
        <v>14137298</v>
      </c>
      <c r="G873" s="14">
        <v>0</v>
      </c>
      <c r="H873" s="9" t="s">
        <v>1530</v>
      </c>
      <c r="I873" s="15">
        <v>66973463</v>
      </c>
      <c r="J873" s="16" t="s">
        <v>1531</v>
      </c>
      <c r="K873" s="17">
        <v>9400</v>
      </c>
      <c r="L873" s="18" t="s">
        <v>21</v>
      </c>
      <c r="M873" s="19">
        <v>1489.2553</v>
      </c>
      <c r="N873" s="19">
        <v>0</v>
      </c>
      <c r="O873" s="19">
        <f t="shared" si="59"/>
        <v>13998999.82</v>
      </c>
      <c r="P873" s="17" t="s">
        <v>31</v>
      </c>
      <c r="R873" s="31"/>
    </row>
    <row r="874" spans="1:19" x14ac:dyDescent="0.3">
      <c r="A874" s="9" t="s">
        <v>1472</v>
      </c>
      <c r="B874" s="10" t="s">
        <v>1532</v>
      </c>
      <c r="C874" s="11" t="s">
        <v>1529</v>
      </c>
      <c r="D874" s="12">
        <v>43974</v>
      </c>
      <c r="E874" s="12">
        <v>43974</v>
      </c>
      <c r="F874" s="13">
        <v>27680850.550000001</v>
      </c>
      <c r="G874" s="14">
        <v>0</v>
      </c>
      <c r="H874" s="9" t="s">
        <v>356</v>
      </c>
      <c r="I874" s="15">
        <v>900300970</v>
      </c>
      <c r="J874" s="16" t="s">
        <v>1533</v>
      </c>
      <c r="K874" s="17">
        <v>20000</v>
      </c>
      <c r="L874" s="18" t="s">
        <v>21</v>
      </c>
      <c r="M874" s="19">
        <v>1372.3404</v>
      </c>
      <c r="N874" s="19">
        <v>0</v>
      </c>
      <c r="O874" s="19">
        <f t="shared" si="59"/>
        <v>27446808</v>
      </c>
      <c r="P874" s="17" t="s">
        <v>31</v>
      </c>
      <c r="R874" s="31"/>
    </row>
    <row r="875" spans="1:19" x14ac:dyDescent="0.3">
      <c r="A875" s="9" t="s">
        <v>1472</v>
      </c>
      <c r="B875" s="10" t="s">
        <v>1534</v>
      </c>
      <c r="C875" s="11" t="s">
        <v>1529</v>
      </c>
      <c r="D875" s="12">
        <v>43979</v>
      </c>
      <c r="E875" s="12">
        <v>43979</v>
      </c>
      <c r="F875" s="13">
        <v>2297873</v>
      </c>
      <c r="G875" s="14">
        <v>0</v>
      </c>
      <c r="H875" s="9" t="s">
        <v>1421</v>
      </c>
      <c r="I875" s="15">
        <v>901104771</v>
      </c>
      <c r="J875" s="16" t="s">
        <v>1938</v>
      </c>
      <c r="K875" s="17">
        <v>757</v>
      </c>
      <c r="L875" s="18" t="s">
        <v>36</v>
      </c>
      <c r="M875" s="19">
        <v>2614</v>
      </c>
      <c r="N875" s="19">
        <v>0</v>
      </c>
      <c r="O875" s="19">
        <f t="shared" si="59"/>
        <v>1978798</v>
      </c>
      <c r="P875" s="17" t="s">
        <v>875</v>
      </c>
      <c r="R875" s="31"/>
    </row>
    <row r="876" spans="1:19" x14ac:dyDescent="0.3">
      <c r="A876" s="9" t="s">
        <v>1472</v>
      </c>
      <c r="B876" s="10" t="s">
        <v>1535</v>
      </c>
      <c r="C876" s="11" t="s">
        <v>1529</v>
      </c>
      <c r="D876" s="12">
        <v>43979</v>
      </c>
      <c r="E876" s="12">
        <v>43979</v>
      </c>
      <c r="F876" s="13">
        <v>1729522.14</v>
      </c>
      <c r="G876" s="14">
        <v>0</v>
      </c>
      <c r="H876" s="9" t="s">
        <v>959</v>
      </c>
      <c r="I876" s="15">
        <v>805023817</v>
      </c>
      <c r="J876" s="16" t="s">
        <v>207</v>
      </c>
      <c r="K876" s="17">
        <v>189</v>
      </c>
      <c r="L876" s="18" t="s">
        <v>36</v>
      </c>
      <c r="M876" s="19">
        <v>7869.75</v>
      </c>
      <c r="N876" s="19">
        <v>0</v>
      </c>
      <c r="O876" s="19">
        <f t="shared" si="59"/>
        <v>1487382.75</v>
      </c>
      <c r="P876" s="17" t="s">
        <v>161</v>
      </c>
      <c r="R876" s="31"/>
    </row>
    <row r="877" spans="1:19" x14ac:dyDescent="0.3">
      <c r="A877" s="9" t="s">
        <v>1472</v>
      </c>
      <c r="B877" s="10" t="s">
        <v>1536</v>
      </c>
      <c r="C877" s="11" t="s">
        <v>1537</v>
      </c>
      <c r="D877" s="12">
        <v>43986</v>
      </c>
      <c r="E877" s="12">
        <v>43986</v>
      </c>
      <c r="F877" s="13">
        <v>12492569</v>
      </c>
      <c r="G877" s="14">
        <v>0</v>
      </c>
      <c r="H877" s="9" t="s">
        <v>68</v>
      </c>
      <c r="I877" s="15">
        <v>900350133</v>
      </c>
      <c r="J877" s="16" t="s">
        <v>1538</v>
      </c>
      <c r="K877" s="17">
        <v>1568</v>
      </c>
      <c r="L877" s="29" t="s">
        <v>2135</v>
      </c>
      <c r="M877" s="19">
        <v>5212.7700000000004</v>
      </c>
      <c r="N877" s="19">
        <f>M877*0.19</f>
        <v>990.42630000000008</v>
      </c>
      <c r="O877" s="19">
        <f t="shared" si="59"/>
        <v>9726611.7984000016</v>
      </c>
      <c r="P877" s="21" t="s">
        <v>656</v>
      </c>
      <c r="R877" s="31"/>
    </row>
    <row r="878" spans="1:19" x14ac:dyDescent="0.3">
      <c r="A878" s="9" t="s">
        <v>1472</v>
      </c>
      <c r="B878" s="10" t="s">
        <v>1539</v>
      </c>
      <c r="C878" s="11" t="s">
        <v>1537</v>
      </c>
      <c r="D878" s="12">
        <v>43986</v>
      </c>
      <c r="E878" s="12">
        <v>43986</v>
      </c>
      <c r="F878" s="13">
        <v>4440238.3</v>
      </c>
      <c r="G878" s="14">
        <v>0</v>
      </c>
      <c r="H878" s="9" t="s">
        <v>382</v>
      </c>
      <c r="I878" s="15">
        <v>900567130</v>
      </c>
      <c r="J878" s="16" t="s">
        <v>1540</v>
      </c>
      <c r="K878" s="46">
        <v>787</v>
      </c>
      <c r="L878" s="29" t="s">
        <v>36</v>
      </c>
      <c r="M878" s="19">
        <v>4610</v>
      </c>
      <c r="N878" s="19">
        <v>0</v>
      </c>
      <c r="O878" s="19">
        <f t="shared" si="59"/>
        <v>3628070</v>
      </c>
      <c r="P878" s="17" t="s">
        <v>39</v>
      </c>
      <c r="R878" s="31"/>
    </row>
    <row r="879" spans="1:19" x14ac:dyDescent="0.3">
      <c r="A879" s="9" t="s">
        <v>1472</v>
      </c>
      <c r="B879" s="10" t="s">
        <v>1541</v>
      </c>
      <c r="C879" s="11" t="s">
        <v>1542</v>
      </c>
      <c r="D879" s="12">
        <v>43987</v>
      </c>
      <c r="E879" s="12">
        <v>43987</v>
      </c>
      <c r="F879" s="13">
        <v>4308511.47</v>
      </c>
      <c r="G879" s="14">
        <v>0</v>
      </c>
      <c r="H879" s="9" t="s">
        <v>363</v>
      </c>
      <c r="I879" s="15">
        <v>860062147</v>
      </c>
      <c r="J879" s="16" t="s">
        <v>364</v>
      </c>
      <c r="K879" s="17">
        <v>300</v>
      </c>
      <c r="L879" s="18" t="s">
        <v>21</v>
      </c>
      <c r="M879" s="19">
        <v>13829.79</v>
      </c>
      <c r="N879" s="19">
        <v>0</v>
      </c>
      <c r="O879" s="19">
        <f t="shared" si="59"/>
        <v>4148937.0000000005</v>
      </c>
      <c r="P879" s="17" t="s">
        <v>75</v>
      </c>
      <c r="R879" s="31"/>
    </row>
    <row r="880" spans="1:19" x14ac:dyDescent="0.3">
      <c r="A880" s="9" t="s">
        <v>1472</v>
      </c>
      <c r="B880" s="10" t="s">
        <v>1543</v>
      </c>
      <c r="C880" s="11" t="s">
        <v>1544</v>
      </c>
      <c r="D880" s="12">
        <v>43992</v>
      </c>
      <c r="E880" s="12">
        <v>43992</v>
      </c>
      <c r="F880" s="13">
        <v>9148936.2300000004</v>
      </c>
      <c r="G880" s="14">
        <v>0</v>
      </c>
      <c r="H880" s="9" t="s">
        <v>1545</v>
      </c>
      <c r="I880" s="15">
        <v>900257066</v>
      </c>
      <c r="J880" s="16" t="s">
        <v>1546</v>
      </c>
      <c r="K880" s="17">
        <v>25</v>
      </c>
      <c r="L880" s="18" t="s">
        <v>21</v>
      </c>
      <c r="M880" s="19">
        <v>361702.13</v>
      </c>
      <c r="N880" s="19">
        <v>0</v>
      </c>
      <c r="O880" s="19">
        <f t="shared" si="59"/>
        <v>9042553.25</v>
      </c>
      <c r="P880" s="17" t="s">
        <v>185</v>
      </c>
      <c r="R880" s="31"/>
    </row>
    <row r="881" spans="1:18" x14ac:dyDescent="0.3">
      <c r="A881" s="9" t="s">
        <v>1472</v>
      </c>
      <c r="B881" s="10" t="s">
        <v>1547</v>
      </c>
      <c r="C881" s="11" t="s">
        <v>1548</v>
      </c>
      <c r="D881" s="12">
        <v>43993</v>
      </c>
      <c r="E881" s="12">
        <v>43993</v>
      </c>
      <c r="F881" s="13">
        <v>3262680</v>
      </c>
      <c r="G881" s="14">
        <v>0</v>
      </c>
      <c r="H881" s="9" t="s">
        <v>332</v>
      </c>
      <c r="I881" s="15">
        <v>830037946</v>
      </c>
      <c r="J881" s="16" t="s">
        <v>1549</v>
      </c>
      <c r="K881" s="17">
        <v>54</v>
      </c>
      <c r="L881" s="18" t="s">
        <v>21</v>
      </c>
      <c r="M881" s="19">
        <v>50773.10924369748</v>
      </c>
      <c r="N881" s="19">
        <f>M881*0.19</f>
        <v>9646.8907563025205</v>
      </c>
      <c r="O881" s="19">
        <f t="shared" si="59"/>
        <v>3262680</v>
      </c>
      <c r="P881" s="17" t="s">
        <v>98</v>
      </c>
      <c r="R881" s="31"/>
    </row>
    <row r="882" spans="1:18" x14ac:dyDescent="0.3">
      <c r="A882" s="9" t="s">
        <v>1472</v>
      </c>
      <c r="B882" s="10" t="s">
        <v>1550</v>
      </c>
      <c r="C882" s="11" t="s">
        <v>1551</v>
      </c>
      <c r="D882" s="12">
        <v>43998</v>
      </c>
      <c r="E882" s="12">
        <v>43998</v>
      </c>
      <c r="F882" s="13">
        <v>7473404</v>
      </c>
      <c r="G882" s="14">
        <v>0</v>
      </c>
      <c r="H882" s="9" t="s">
        <v>359</v>
      </c>
      <c r="I882" s="15">
        <v>900704052</v>
      </c>
      <c r="J882" s="16" t="s">
        <v>165</v>
      </c>
      <c r="K882" s="17">
        <v>549</v>
      </c>
      <c r="L882" s="18" t="s">
        <v>36</v>
      </c>
      <c r="M882" s="19">
        <v>12648</v>
      </c>
      <c r="N882" s="19">
        <v>0</v>
      </c>
      <c r="O882" s="19">
        <f t="shared" si="59"/>
        <v>6943752</v>
      </c>
      <c r="P882" s="17" t="s">
        <v>37</v>
      </c>
      <c r="R882" s="31"/>
    </row>
    <row r="883" spans="1:18" x14ac:dyDescent="0.3">
      <c r="A883" s="9" t="s">
        <v>1472</v>
      </c>
      <c r="B883" s="10" t="s">
        <v>1552</v>
      </c>
      <c r="C883" s="11" t="s">
        <v>1553</v>
      </c>
      <c r="D883" s="12">
        <v>44008</v>
      </c>
      <c r="E883" s="12">
        <v>44008</v>
      </c>
      <c r="F883" s="13">
        <v>5828191.8300000001</v>
      </c>
      <c r="G883" s="14">
        <v>0</v>
      </c>
      <c r="H883" s="9" t="s">
        <v>356</v>
      </c>
      <c r="I883" s="15">
        <v>900300970</v>
      </c>
      <c r="J883" s="16" t="s">
        <v>734</v>
      </c>
      <c r="K883" s="17">
        <v>115</v>
      </c>
      <c r="L883" s="29" t="s">
        <v>70</v>
      </c>
      <c r="M883" s="19">
        <v>49893.62</v>
      </c>
      <c r="N883" s="19">
        <v>0</v>
      </c>
      <c r="O883" s="19">
        <f t="shared" si="59"/>
        <v>5737766.3000000007</v>
      </c>
      <c r="P883" s="17" t="s">
        <v>69</v>
      </c>
      <c r="R883" s="31"/>
    </row>
    <row r="884" spans="1:18" x14ac:dyDescent="0.3">
      <c r="A884" s="9" t="s">
        <v>1472</v>
      </c>
      <c r="B884" s="10" t="s">
        <v>1554</v>
      </c>
      <c r="C884" s="11" t="s">
        <v>1555</v>
      </c>
      <c r="D884" s="12">
        <v>44033</v>
      </c>
      <c r="E884" s="12">
        <v>44033</v>
      </c>
      <c r="F884" s="13">
        <v>5100093</v>
      </c>
      <c r="G884" s="14">
        <v>0</v>
      </c>
      <c r="H884" s="9" t="s">
        <v>1556</v>
      </c>
      <c r="I884" s="15">
        <v>811008383</v>
      </c>
      <c r="J884" s="16" t="s">
        <v>161</v>
      </c>
      <c r="K884" s="17">
        <v>1022</v>
      </c>
      <c r="L884" s="18" t="s">
        <v>36</v>
      </c>
      <c r="M884" s="19">
        <v>4413</v>
      </c>
      <c r="N884" s="19">
        <v>0</v>
      </c>
      <c r="O884" s="19">
        <f t="shared" si="59"/>
        <v>4510086</v>
      </c>
      <c r="P884" s="17" t="s">
        <v>161</v>
      </c>
      <c r="R884" s="31"/>
    </row>
    <row r="885" spans="1:18" x14ac:dyDescent="0.3">
      <c r="A885" s="9" t="s">
        <v>1472</v>
      </c>
      <c r="B885" s="10" t="s">
        <v>1557</v>
      </c>
      <c r="C885" s="11" t="s">
        <v>1558</v>
      </c>
      <c r="D885" s="12">
        <v>47430</v>
      </c>
      <c r="E885" s="12">
        <v>43907</v>
      </c>
      <c r="F885" s="13">
        <v>0</v>
      </c>
      <c r="G885" s="14">
        <v>5308690</v>
      </c>
      <c r="H885" s="9" t="s">
        <v>1559</v>
      </c>
      <c r="I885" s="15">
        <v>800209088</v>
      </c>
      <c r="J885" s="16" t="s">
        <v>1560</v>
      </c>
      <c r="K885" s="17">
        <v>10</v>
      </c>
      <c r="L885" s="18" t="s">
        <v>44</v>
      </c>
      <c r="M885" s="19">
        <v>530869</v>
      </c>
      <c r="N885" s="19">
        <v>0</v>
      </c>
      <c r="O885" s="19">
        <f t="shared" si="59"/>
        <v>5308690</v>
      </c>
      <c r="P885" s="17" t="s">
        <v>45</v>
      </c>
      <c r="R885" s="31"/>
    </row>
    <row r="886" spans="1:18" x14ac:dyDescent="0.3">
      <c r="A886" s="9" t="s">
        <v>1472</v>
      </c>
      <c r="B886" s="10" t="s">
        <v>1561</v>
      </c>
      <c r="C886" s="11" t="s">
        <v>1562</v>
      </c>
      <c r="D886" s="12">
        <v>43770</v>
      </c>
      <c r="E886" s="12">
        <v>43906</v>
      </c>
      <c r="F886" s="13">
        <v>0</v>
      </c>
      <c r="G886" s="14">
        <v>31068000</v>
      </c>
      <c r="H886" s="9" t="s">
        <v>1563</v>
      </c>
      <c r="I886" s="15">
        <v>812000152</v>
      </c>
      <c r="J886" s="16" t="s">
        <v>1564</v>
      </c>
      <c r="K886" s="17">
        <v>400</v>
      </c>
      <c r="L886" s="18" t="s">
        <v>36</v>
      </c>
      <c r="M886" s="19">
        <v>11000</v>
      </c>
      <c r="N886" s="19">
        <v>0</v>
      </c>
      <c r="O886" s="19">
        <f t="shared" si="59"/>
        <v>4400000</v>
      </c>
      <c r="P886" s="17" t="s">
        <v>37</v>
      </c>
      <c r="R886" s="31"/>
    </row>
    <row r="887" spans="1:18" x14ac:dyDescent="0.3">
      <c r="A887" s="9" t="s">
        <v>1472</v>
      </c>
      <c r="B887" s="10" t="s">
        <v>1561</v>
      </c>
      <c r="C887" s="11" t="s">
        <v>1562</v>
      </c>
      <c r="D887" s="12">
        <v>43770</v>
      </c>
      <c r="E887" s="12">
        <v>43936</v>
      </c>
      <c r="F887" s="13">
        <v>0</v>
      </c>
      <c r="G887" s="14">
        <v>31068000</v>
      </c>
      <c r="H887" s="9" t="s">
        <v>1563</v>
      </c>
      <c r="I887" s="15">
        <v>812000152</v>
      </c>
      <c r="J887" s="16" t="s">
        <v>1565</v>
      </c>
      <c r="K887" s="46">
        <v>400</v>
      </c>
      <c r="L887" s="29" t="s">
        <v>36</v>
      </c>
      <c r="M887" s="19">
        <v>6000</v>
      </c>
      <c r="N887" s="19">
        <v>0</v>
      </c>
      <c r="O887" s="19">
        <f t="shared" si="59"/>
        <v>2400000</v>
      </c>
      <c r="P887" s="17" t="s">
        <v>39</v>
      </c>
      <c r="R887" s="31"/>
    </row>
    <row r="888" spans="1:18" x14ac:dyDescent="0.3">
      <c r="A888" s="9" t="s">
        <v>1472</v>
      </c>
      <c r="B888" s="10" t="s">
        <v>1561</v>
      </c>
      <c r="C888" s="11" t="s">
        <v>1562</v>
      </c>
      <c r="D888" s="12">
        <v>43770</v>
      </c>
      <c r="E888" s="12">
        <v>43936</v>
      </c>
      <c r="F888" s="13">
        <v>0</v>
      </c>
      <c r="G888" s="14">
        <v>31068000</v>
      </c>
      <c r="H888" s="9" t="s">
        <v>1563</v>
      </c>
      <c r="I888" s="15">
        <v>812000152</v>
      </c>
      <c r="J888" s="16" t="s">
        <v>1566</v>
      </c>
      <c r="K888" s="17">
        <v>76</v>
      </c>
      <c r="L888" s="29" t="s">
        <v>36</v>
      </c>
      <c r="M888" s="19">
        <v>3170</v>
      </c>
      <c r="N888" s="19">
        <v>0</v>
      </c>
      <c r="O888" s="19">
        <f t="shared" si="59"/>
        <v>240920</v>
      </c>
      <c r="P888" s="17" t="s">
        <v>1567</v>
      </c>
      <c r="R888" s="31"/>
    </row>
    <row r="889" spans="1:18" x14ac:dyDescent="0.3">
      <c r="A889" s="9" t="s">
        <v>1472</v>
      </c>
      <c r="B889" s="10" t="s">
        <v>1561</v>
      </c>
      <c r="C889" s="11" t="s">
        <v>1562</v>
      </c>
      <c r="D889" s="12">
        <v>43770</v>
      </c>
      <c r="E889" s="12">
        <v>43936</v>
      </c>
      <c r="F889" s="13">
        <v>0</v>
      </c>
      <c r="G889" s="14">
        <v>31068000</v>
      </c>
      <c r="H889" s="9" t="s">
        <v>1563</v>
      </c>
      <c r="I889" s="15">
        <v>812000152</v>
      </c>
      <c r="J889" s="16" t="s">
        <v>734</v>
      </c>
      <c r="K889" s="17">
        <v>15</v>
      </c>
      <c r="L889" s="29" t="s">
        <v>70</v>
      </c>
      <c r="M889" s="19">
        <v>44000</v>
      </c>
      <c r="N889" s="19">
        <v>0</v>
      </c>
      <c r="O889" s="19">
        <f t="shared" ref="O889:O952" si="62">K889*(M889+N889)</f>
        <v>660000</v>
      </c>
      <c r="P889" s="17" t="s">
        <v>69</v>
      </c>
      <c r="R889" s="31"/>
    </row>
    <row r="890" spans="1:18" x14ac:dyDescent="0.3">
      <c r="A890" s="9" t="s">
        <v>1472</v>
      </c>
      <c r="B890" s="10" t="s">
        <v>1561</v>
      </c>
      <c r="C890" s="11" t="s">
        <v>1562</v>
      </c>
      <c r="D890" s="12">
        <v>43770</v>
      </c>
      <c r="E890" s="12">
        <v>43936</v>
      </c>
      <c r="F890" s="13">
        <v>0</v>
      </c>
      <c r="G890" s="14">
        <v>31068000</v>
      </c>
      <c r="H890" s="9" t="s">
        <v>1563</v>
      </c>
      <c r="I890" s="15">
        <v>812000152</v>
      </c>
      <c r="J890" s="16" t="s">
        <v>1568</v>
      </c>
      <c r="K890" s="17">
        <v>400</v>
      </c>
      <c r="L890" s="29" t="s">
        <v>36</v>
      </c>
      <c r="M890" s="19">
        <v>1750</v>
      </c>
      <c r="N890" s="19">
        <v>0</v>
      </c>
      <c r="O890" s="19">
        <f t="shared" si="62"/>
        <v>700000</v>
      </c>
      <c r="P890" s="17" t="s">
        <v>143</v>
      </c>
      <c r="R890" s="31"/>
    </row>
    <row r="891" spans="1:18" x14ac:dyDescent="0.3">
      <c r="A891" s="9" t="s">
        <v>1472</v>
      </c>
      <c r="B891" s="10" t="s">
        <v>1561</v>
      </c>
      <c r="C891" s="11" t="s">
        <v>1562</v>
      </c>
      <c r="D891" s="12">
        <v>43770</v>
      </c>
      <c r="E891" s="12">
        <v>43936</v>
      </c>
      <c r="F891" s="13">
        <v>0</v>
      </c>
      <c r="G891" s="14">
        <v>31068000</v>
      </c>
      <c r="H891" s="9" t="s">
        <v>1563</v>
      </c>
      <c r="I891" s="15">
        <v>812000152</v>
      </c>
      <c r="J891" s="16" t="s">
        <v>1569</v>
      </c>
      <c r="K891" s="17">
        <v>100</v>
      </c>
      <c r="L891" s="18" t="s">
        <v>21</v>
      </c>
      <c r="M891" s="19">
        <v>4200</v>
      </c>
      <c r="N891" s="19">
        <v>0</v>
      </c>
      <c r="O891" s="19">
        <f t="shared" si="62"/>
        <v>420000</v>
      </c>
      <c r="P891" s="17" t="s">
        <v>875</v>
      </c>
      <c r="R891" s="31"/>
    </row>
    <row r="892" spans="1:18" x14ac:dyDescent="0.3">
      <c r="A892" s="9" t="s">
        <v>1472</v>
      </c>
      <c r="B892" s="10" t="s">
        <v>1561</v>
      </c>
      <c r="C892" s="11" t="s">
        <v>1562</v>
      </c>
      <c r="D892" s="12">
        <v>43770</v>
      </c>
      <c r="E892" s="12">
        <v>43936</v>
      </c>
      <c r="F892" s="13">
        <v>0</v>
      </c>
      <c r="G892" s="14">
        <v>31068000</v>
      </c>
      <c r="H892" s="9" t="s">
        <v>1563</v>
      </c>
      <c r="I892" s="15">
        <v>812000152</v>
      </c>
      <c r="J892" s="16" t="s">
        <v>1570</v>
      </c>
      <c r="K892" s="17">
        <v>6500</v>
      </c>
      <c r="L892" s="18" t="s">
        <v>21</v>
      </c>
      <c r="M892" s="19">
        <v>1800</v>
      </c>
      <c r="N892" s="19">
        <v>0</v>
      </c>
      <c r="O892" s="19">
        <f t="shared" si="62"/>
        <v>11700000</v>
      </c>
      <c r="P892" s="17" t="s">
        <v>31</v>
      </c>
      <c r="R892" s="31"/>
    </row>
    <row r="893" spans="1:18" x14ac:dyDescent="0.3">
      <c r="A893" s="9" t="s">
        <v>1472</v>
      </c>
      <c r="B893" s="10" t="s">
        <v>1561</v>
      </c>
      <c r="C893" s="11" t="s">
        <v>1562</v>
      </c>
      <c r="D893" s="12">
        <v>43770</v>
      </c>
      <c r="E893" s="12">
        <v>43936</v>
      </c>
      <c r="F893" s="13">
        <v>0</v>
      </c>
      <c r="G893" s="14">
        <v>31068000</v>
      </c>
      <c r="H893" s="9" t="s">
        <v>1563</v>
      </c>
      <c r="I893" s="15">
        <v>812000152</v>
      </c>
      <c r="J893" s="16" t="s">
        <v>1564</v>
      </c>
      <c r="K893" s="17">
        <v>400</v>
      </c>
      <c r="L893" s="29" t="s">
        <v>36</v>
      </c>
      <c r="M893" s="19">
        <v>11000</v>
      </c>
      <c r="N893" s="19">
        <v>0</v>
      </c>
      <c r="O893" s="19">
        <f t="shared" si="62"/>
        <v>4400000</v>
      </c>
      <c r="P893" s="17" t="s">
        <v>37</v>
      </c>
      <c r="R893" s="31"/>
    </row>
    <row r="894" spans="1:18" x14ac:dyDescent="0.3">
      <c r="A894" s="9" t="s">
        <v>1472</v>
      </c>
      <c r="B894" s="10" t="s">
        <v>1561</v>
      </c>
      <c r="C894" s="11" t="s">
        <v>1562</v>
      </c>
      <c r="D894" s="12">
        <v>43770</v>
      </c>
      <c r="E894" s="12">
        <v>43936</v>
      </c>
      <c r="F894" s="13">
        <v>0</v>
      </c>
      <c r="G894" s="14">
        <v>31068000</v>
      </c>
      <c r="H894" s="9" t="s">
        <v>1563</v>
      </c>
      <c r="I894" s="15">
        <v>812000152</v>
      </c>
      <c r="J894" s="16" t="s">
        <v>1565</v>
      </c>
      <c r="K894" s="46">
        <v>400</v>
      </c>
      <c r="L894" s="29" t="s">
        <v>36</v>
      </c>
      <c r="M894" s="19">
        <v>6000</v>
      </c>
      <c r="N894" s="19">
        <v>0</v>
      </c>
      <c r="O894" s="19">
        <f t="shared" si="62"/>
        <v>2400000</v>
      </c>
      <c r="P894" s="17" t="s">
        <v>39</v>
      </c>
      <c r="R894" s="31"/>
    </row>
    <row r="895" spans="1:18" x14ac:dyDescent="0.3">
      <c r="A895" s="9" t="s">
        <v>1472</v>
      </c>
      <c r="B895" s="10" t="s">
        <v>1561</v>
      </c>
      <c r="C895" s="11" t="s">
        <v>1562</v>
      </c>
      <c r="D895" s="12">
        <v>43770</v>
      </c>
      <c r="E895" s="12">
        <v>43936</v>
      </c>
      <c r="F895" s="13">
        <v>0</v>
      </c>
      <c r="G895" s="14">
        <v>31068000</v>
      </c>
      <c r="H895" s="9" t="s">
        <v>1563</v>
      </c>
      <c r="I895" s="15">
        <v>812000152</v>
      </c>
      <c r="J895" s="16" t="s">
        <v>1566</v>
      </c>
      <c r="K895" s="17">
        <v>114</v>
      </c>
      <c r="L895" s="29" t="s">
        <v>36</v>
      </c>
      <c r="M895" s="19">
        <v>3170</v>
      </c>
      <c r="N895" s="19">
        <v>0</v>
      </c>
      <c r="O895" s="19">
        <f t="shared" si="62"/>
        <v>361380</v>
      </c>
      <c r="P895" s="17" t="s">
        <v>1567</v>
      </c>
      <c r="R895" s="31"/>
    </row>
    <row r="896" spans="1:18" x14ac:dyDescent="0.3">
      <c r="A896" s="9" t="s">
        <v>1472</v>
      </c>
      <c r="B896" s="10" t="s">
        <v>1561</v>
      </c>
      <c r="C896" s="11" t="s">
        <v>1562</v>
      </c>
      <c r="D896" s="12">
        <v>43770</v>
      </c>
      <c r="E896" s="12">
        <v>43936</v>
      </c>
      <c r="F896" s="13">
        <v>0</v>
      </c>
      <c r="G896" s="14">
        <v>31068000</v>
      </c>
      <c r="H896" s="9" t="s">
        <v>1563</v>
      </c>
      <c r="I896" s="15">
        <v>812000152</v>
      </c>
      <c r="J896" s="16" t="s">
        <v>1568</v>
      </c>
      <c r="K896" s="17">
        <v>379</v>
      </c>
      <c r="L896" s="29" t="s">
        <v>36</v>
      </c>
      <c r="M896" s="19">
        <v>1849</v>
      </c>
      <c r="N896" s="19">
        <v>0</v>
      </c>
      <c r="O896" s="19">
        <f t="shared" si="62"/>
        <v>700771</v>
      </c>
      <c r="P896" s="17" t="s">
        <v>143</v>
      </c>
      <c r="R896" s="31"/>
    </row>
    <row r="897" spans="1:18" x14ac:dyDescent="0.3">
      <c r="A897" s="9" t="s">
        <v>1472</v>
      </c>
      <c r="B897" s="10" t="s">
        <v>1561</v>
      </c>
      <c r="C897" s="11" t="s">
        <v>1562</v>
      </c>
      <c r="D897" s="12">
        <v>43770</v>
      </c>
      <c r="E897" s="12">
        <v>43980</v>
      </c>
      <c r="F897" s="13">
        <v>0</v>
      </c>
      <c r="G897" s="14">
        <v>31068000</v>
      </c>
      <c r="H897" s="9" t="s">
        <v>1563</v>
      </c>
      <c r="I897" s="15">
        <v>812000152</v>
      </c>
      <c r="J897" s="16" t="s">
        <v>1538</v>
      </c>
      <c r="K897" s="17">
        <v>672</v>
      </c>
      <c r="L897" s="29" t="s">
        <v>2135</v>
      </c>
      <c r="M897" s="19">
        <v>4000</v>
      </c>
      <c r="N897" s="19">
        <v>0</v>
      </c>
      <c r="O897" s="19">
        <f t="shared" si="62"/>
        <v>2688000</v>
      </c>
      <c r="P897" s="21" t="s">
        <v>656</v>
      </c>
      <c r="R897" s="31"/>
    </row>
    <row r="898" spans="1:18" x14ac:dyDescent="0.3">
      <c r="A898" s="9" t="s">
        <v>1571</v>
      </c>
      <c r="B898" s="10" t="s">
        <v>2078</v>
      </c>
      <c r="C898" s="11" t="s">
        <v>1572</v>
      </c>
      <c r="D898" s="12">
        <v>43908</v>
      </c>
      <c r="E898" s="12">
        <v>43908</v>
      </c>
      <c r="F898" s="13">
        <v>11223366</v>
      </c>
      <c r="G898" s="14">
        <v>0</v>
      </c>
      <c r="H898" s="9" t="s">
        <v>19</v>
      </c>
      <c r="I898" s="15">
        <v>901095058</v>
      </c>
      <c r="J898" s="16" t="s">
        <v>1573</v>
      </c>
      <c r="K898" s="17">
        <v>300</v>
      </c>
      <c r="L898" s="18" t="s">
        <v>21</v>
      </c>
      <c r="M898" s="19">
        <v>15000</v>
      </c>
      <c r="N898" s="19">
        <f t="shared" ref="N898:N902" si="63">M898*0.19</f>
        <v>2850</v>
      </c>
      <c r="O898" s="19">
        <f t="shared" si="62"/>
        <v>5355000</v>
      </c>
      <c r="P898" s="17" t="s">
        <v>22</v>
      </c>
      <c r="R898" s="31"/>
    </row>
    <row r="899" spans="1:18" x14ac:dyDescent="0.3">
      <c r="A899" s="9" t="s">
        <v>1571</v>
      </c>
      <c r="B899" s="10" t="s">
        <v>2078</v>
      </c>
      <c r="C899" s="11" t="s">
        <v>1572</v>
      </c>
      <c r="D899" s="12">
        <v>43908</v>
      </c>
      <c r="E899" s="12">
        <v>43908</v>
      </c>
      <c r="F899" s="13">
        <v>11223366</v>
      </c>
      <c r="G899" s="14">
        <v>0</v>
      </c>
      <c r="H899" s="9" t="s">
        <v>19</v>
      </c>
      <c r="I899" s="15">
        <v>901095058</v>
      </c>
      <c r="J899" s="16" t="s">
        <v>1574</v>
      </c>
      <c r="K899" s="17">
        <v>160</v>
      </c>
      <c r="L899" s="29" t="s">
        <v>36</v>
      </c>
      <c r="M899" s="19">
        <v>29571.25</v>
      </c>
      <c r="N899" s="19">
        <f t="shared" si="63"/>
        <v>5618.5375000000004</v>
      </c>
      <c r="O899" s="19">
        <f t="shared" si="62"/>
        <v>5630366</v>
      </c>
      <c r="P899" s="17" t="s">
        <v>37</v>
      </c>
      <c r="R899" s="31"/>
    </row>
    <row r="900" spans="1:18" x14ac:dyDescent="0.3">
      <c r="A900" s="9" t="s">
        <v>1571</v>
      </c>
      <c r="B900" s="10" t="s">
        <v>2079</v>
      </c>
      <c r="C900" s="11" t="s">
        <v>1575</v>
      </c>
      <c r="D900" s="12">
        <v>43909</v>
      </c>
      <c r="E900" s="12">
        <v>43909</v>
      </c>
      <c r="F900" s="13">
        <v>29028000</v>
      </c>
      <c r="G900" s="14">
        <v>0</v>
      </c>
      <c r="H900" s="9" t="s">
        <v>1576</v>
      </c>
      <c r="I900" s="15">
        <v>900837029</v>
      </c>
      <c r="J900" s="16" t="s">
        <v>1577</v>
      </c>
      <c r="K900" s="17">
        <v>200</v>
      </c>
      <c r="L900" s="18" t="s">
        <v>36</v>
      </c>
      <c r="M900" s="19">
        <v>25000</v>
      </c>
      <c r="N900" s="19">
        <f t="shared" si="63"/>
        <v>4750</v>
      </c>
      <c r="O900" s="19">
        <f t="shared" si="62"/>
        <v>5950000</v>
      </c>
      <c r="P900" s="17" t="s">
        <v>37</v>
      </c>
      <c r="R900" s="31"/>
    </row>
    <row r="901" spans="1:18" x14ac:dyDescent="0.3">
      <c r="A901" s="9" t="s">
        <v>1571</v>
      </c>
      <c r="B901" s="10" t="s">
        <v>2079</v>
      </c>
      <c r="C901" s="11" t="s">
        <v>1575</v>
      </c>
      <c r="D901" s="12">
        <v>43909</v>
      </c>
      <c r="E901" s="12">
        <v>43909</v>
      </c>
      <c r="F901" s="13">
        <v>29028000</v>
      </c>
      <c r="G901" s="14">
        <v>0</v>
      </c>
      <c r="H901" s="9" t="s">
        <v>1576</v>
      </c>
      <c r="I901" s="15">
        <v>900837029</v>
      </c>
      <c r="J901" s="16" t="s">
        <v>1578</v>
      </c>
      <c r="K901" s="17">
        <v>100</v>
      </c>
      <c r="L901" s="18" t="s">
        <v>21</v>
      </c>
      <c r="M901" s="19">
        <v>60000</v>
      </c>
      <c r="N901" s="19">
        <f t="shared" si="63"/>
        <v>11400</v>
      </c>
      <c r="O901" s="19">
        <f t="shared" si="62"/>
        <v>7140000</v>
      </c>
      <c r="P901" s="17" t="s">
        <v>82</v>
      </c>
      <c r="R901" s="31"/>
    </row>
    <row r="902" spans="1:18" x14ac:dyDescent="0.3">
      <c r="A902" s="9" t="s">
        <v>1571</v>
      </c>
      <c r="B902" s="10" t="s">
        <v>2079</v>
      </c>
      <c r="C902" s="11" t="s">
        <v>1575</v>
      </c>
      <c r="D902" s="12">
        <v>43909</v>
      </c>
      <c r="E902" s="12">
        <v>43909</v>
      </c>
      <c r="F902" s="13">
        <v>29028000</v>
      </c>
      <c r="G902" s="14">
        <v>0</v>
      </c>
      <c r="H902" s="9" t="s">
        <v>1576</v>
      </c>
      <c r="I902" s="15">
        <v>900837029</v>
      </c>
      <c r="J902" s="16" t="s">
        <v>115</v>
      </c>
      <c r="K902" s="17">
        <v>9300</v>
      </c>
      <c r="L902" s="18" t="s">
        <v>21</v>
      </c>
      <c r="M902" s="19">
        <v>1394.9579831932774</v>
      </c>
      <c r="N902" s="19">
        <f t="shared" si="63"/>
        <v>265.0420168067227</v>
      </c>
      <c r="O902" s="19">
        <f t="shared" si="62"/>
        <v>15438000</v>
      </c>
      <c r="P902" s="17" t="s">
        <v>31</v>
      </c>
      <c r="R902" s="31"/>
    </row>
    <row r="903" spans="1:18" x14ac:dyDescent="0.3">
      <c r="A903" s="9" t="s">
        <v>1571</v>
      </c>
      <c r="B903" s="10" t="s">
        <v>2080</v>
      </c>
      <c r="C903" s="11" t="s">
        <v>1579</v>
      </c>
      <c r="D903" s="12">
        <v>43950</v>
      </c>
      <c r="E903" s="12">
        <v>43952</v>
      </c>
      <c r="F903" s="13">
        <v>5747700</v>
      </c>
      <c r="G903" s="14">
        <v>0</v>
      </c>
      <c r="H903" s="9" t="s">
        <v>1580</v>
      </c>
      <c r="I903" s="15">
        <v>901346165</v>
      </c>
      <c r="J903" s="16" t="s">
        <v>1581</v>
      </c>
      <c r="K903" s="17">
        <v>735</v>
      </c>
      <c r="L903" s="18" t="s">
        <v>36</v>
      </c>
      <c r="M903" s="19">
        <v>7820</v>
      </c>
      <c r="N903" s="19">
        <v>0</v>
      </c>
      <c r="O903" s="19">
        <f t="shared" si="62"/>
        <v>5747700</v>
      </c>
      <c r="P903" s="17" t="s">
        <v>161</v>
      </c>
      <c r="R903" s="31"/>
    </row>
    <row r="904" spans="1:18" x14ac:dyDescent="0.3">
      <c r="A904" s="9" t="s">
        <v>1571</v>
      </c>
      <c r="B904" s="10" t="s">
        <v>2081</v>
      </c>
      <c r="C904" s="11" t="s">
        <v>1582</v>
      </c>
      <c r="D904" s="12">
        <v>43964</v>
      </c>
      <c r="E904" s="12">
        <v>43966</v>
      </c>
      <c r="F904" s="13">
        <v>7796118</v>
      </c>
      <c r="G904" s="14">
        <v>0</v>
      </c>
      <c r="H904" s="9" t="s">
        <v>1945</v>
      </c>
      <c r="I904" s="15">
        <v>900311030</v>
      </c>
      <c r="J904" s="16" t="s">
        <v>1583</v>
      </c>
      <c r="K904" s="17">
        <v>1254</v>
      </c>
      <c r="L904" s="29" t="s">
        <v>2135</v>
      </c>
      <c r="M904" s="19">
        <v>6216.9999989999997</v>
      </c>
      <c r="N904" s="19">
        <v>0</v>
      </c>
      <c r="O904" s="19">
        <f t="shared" si="62"/>
        <v>7796117.9987459993</v>
      </c>
      <c r="P904" s="21" t="s">
        <v>656</v>
      </c>
      <c r="R904" s="31"/>
    </row>
    <row r="905" spans="1:18" x14ac:dyDescent="0.3">
      <c r="A905" s="9" t="s">
        <v>1571</v>
      </c>
      <c r="B905" s="10" t="s">
        <v>2082</v>
      </c>
      <c r="C905" s="11" t="s">
        <v>1584</v>
      </c>
      <c r="D905" s="12">
        <v>43966</v>
      </c>
      <c r="E905" s="12">
        <v>43969</v>
      </c>
      <c r="F905" s="13">
        <v>13396000</v>
      </c>
      <c r="G905" s="14">
        <v>0</v>
      </c>
      <c r="H905" s="9" t="s">
        <v>1585</v>
      </c>
      <c r="I905" s="15">
        <v>900342297</v>
      </c>
      <c r="J905" s="16" t="s">
        <v>1586</v>
      </c>
      <c r="K905" s="17">
        <v>4000</v>
      </c>
      <c r="L905" s="18" t="s">
        <v>21</v>
      </c>
      <c r="M905" s="19">
        <v>3349</v>
      </c>
      <c r="N905" s="19">
        <v>0</v>
      </c>
      <c r="O905" s="19">
        <f t="shared" si="62"/>
        <v>13396000</v>
      </c>
      <c r="P905" s="17" t="s">
        <v>31</v>
      </c>
      <c r="R905" s="31"/>
    </row>
    <row r="906" spans="1:18" x14ac:dyDescent="0.3">
      <c r="A906" s="9" t="s">
        <v>1571</v>
      </c>
      <c r="B906" s="10" t="s">
        <v>2083</v>
      </c>
      <c r="C906" s="11" t="s">
        <v>1587</v>
      </c>
      <c r="D906" s="12">
        <v>43972</v>
      </c>
      <c r="E906" s="12">
        <v>43972</v>
      </c>
      <c r="F906" s="13">
        <v>9028390</v>
      </c>
      <c r="G906" s="14">
        <v>0</v>
      </c>
      <c r="H906" s="9" t="s">
        <v>1588</v>
      </c>
      <c r="I906" s="15">
        <v>900676378</v>
      </c>
      <c r="J906" s="16" t="s">
        <v>1589</v>
      </c>
      <c r="K906" s="17">
        <v>14</v>
      </c>
      <c r="L906" s="18" t="s">
        <v>21</v>
      </c>
      <c r="M906" s="19">
        <v>583600</v>
      </c>
      <c r="N906" s="19">
        <v>0</v>
      </c>
      <c r="O906" s="19">
        <f t="shared" si="62"/>
        <v>8170400</v>
      </c>
      <c r="P906" s="17" t="s">
        <v>185</v>
      </c>
      <c r="R906" s="31"/>
    </row>
    <row r="907" spans="1:18" x14ac:dyDescent="0.3">
      <c r="A907" s="9" t="s">
        <v>1571</v>
      </c>
      <c r="B907" s="10" t="s">
        <v>2083</v>
      </c>
      <c r="C907" s="11" t="s">
        <v>1587</v>
      </c>
      <c r="D907" s="12">
        <v>43972</v>
      </c>
      <c r="E907" s="12">
        <v>43972</v>
      </c>
      <c r="F907" s="13">
        <v>9028390</v>
      </c>
      <c r="G907" s="14">
        <v>0</v>
      </c>
      <c r="H907" s="9" t="s">
        <v>1588</v>
      </c>
      <c r="I907" s="15">
        <v>900676378</v>
      </c>
      <c r="J907" s="16" t="s">
        <v>1590</v>
      </c>
      <c r="K907" s="17">
        <v>14</v>
      </c>
      <c r="L907" s="18" t="s">
        <v>21</v>
      </c>
      <c r="M907" s="19">
        <v>51500</v>
      </c>
      <c r="N907" s="19">
        <f>M907*0.19</f>
        <v>9785</v>
      </c>
      <c r="O907" s="19">
        <f t="shared" si="62"/>
        <v>857990</v>
      </c>
      <c r="P907" s="17" t="s">
        <v>334</v>
      </c>
      <c r="R907" s="31"/>
    </row>
    <row r="908" spans="1:18" x14ac:dyDescent="0.3">
      <c r="A908" s="9" t="s">
        <v>1571</v>
      </c>
      <c r="B908" s="10" t="s">
        <v>2084</v>
      </c>
      <c r="C908" s="11" t="s">
        <v>1591</v>
      </c>
      <c r="D908" s="12">
        <v>43979</v>
      </c>
      <c r="E908" s="12">
        <v>43983</v>
      </c>
      <c r="F908" s="13">
        <v>3040254</v>
      </c>
      <c r="G908" s="14">
        <v>0</v>
      </c>
      <c r="H908" s="9" t="s">
        <v>1580</v>
      </c>
      <c r="I908" s="15">
        <v>901346165</v>
      </c>
      <c r="J908" s="16" t="s">
        <v>1592</v>
      </c>
      <c r="K908" s="17">
        <v>100</v>
      </c>
      <c r="L908" s="18" t="s">
        <v>36</v>
      </c>
      <c r="M908" s="19">
        <v>7152.54</v>
      </c>
      <c r="N908" s="19">
        <v>0</v>
      </c>
      <c r="O908" s="19">
        <f t="shared" si="62"/>
        <v>715254</v>
      </c>
      <c r="P908" s="17" t="s">
        <v>161</v>
      </c>
      <c r="R908" s="31"/>
    </row>
    <row r="909" spans="1:18" x14ac:dyDescent="0.3">
      <c r="A909" s="9" t="s">
        <v>1571</v>
      </c>
      <c r="B909" s="10" t="s">
        <v>2084</v>
      </c>
      <c r="C909" s="11" t="s">
        <v>1591</v>
      </c>
      <c r="D909" s="12">
        <v>43979</v>
      </c>
      <c r="E909" s="12">
        <v>43983</v>
      </c>
      <c r="F909" s="13">
        <v>3040254</v>
      </c>
      <c r="G909" s="14">
        <v>0</v>
      </c>
      <c r="H909" s="9" t="s">
        <v>1580</v>
      </c>
      <c r="I909" s="15">
        <v>901346165</v>
      </c>
      <c r="J909" s="16" t="s">
        <v>1581</v>
      </c>
      <c r="K909" s="17">
        <v>300</v>
      </c>
      <c r="L909" s="18" t="s">
        <v>36</v>
      </c>
      <c r="M909" s="19">
        <v>7750</v>
      </c>
      <c r="N909" s="19">
        <v>0</v>
      </c>
      <c r="O909" s="19">
        <f t="shared" si="62"/>
        <v>2325000</v>
      </c>
      <c r="P909" s="17" t="s">
        <v>161</v>
      </c>
      <c r="R909" s="31"/>
    </row>
    <row r="910" spans="1:18" x14ac:dyDescent="0.3">
      <c r="A910" s="9" t="s">
        <v>1571</v>
      </c>
      <c r="B910" s="10" t="s">
        <v>2085</v>
      </c>
      <c r="C910" s="11" t="s">
        <v>1593</v>
      </c>
      <c r="D910" s="12">
        <v>43985</v>
      </c>
      <c r="E910" s="12">
        <v>43985</v>
      </c>
      <c r="F910" s="13">
        <v>7742500</v>
      </c>
      <c r="G910" s="14">
        <v>0</v>
      </c>
      <c r="H910" s="9" t="s">
        <v>1594</v>
      </c>
      <c r="I910" s="15">
        <v>1057514074</v>
      </c>
      <c r="J910" s="16" t="s">
        <v>1595</v>
      </c>
      <c r="K910" s="17">
        <v>163</v>
      </c>
      <c r="L910" s="18" t="s">
        <v>70</v>
      </c>
      <c r="M910" s="19">
        <v>47500</v>
      </c>
      <c r="N910" s="19">
        <v>0</v>
      </c>
      <c r="O910" s="19">
        <f t="shared" si="62"/>
        <v>7742500</v>
      </c>
      <c r="P910" s="17" t="s">
        <v>69</v>
      </c>
      <c r="R910" s="31"/>
    </row>
    <row r="911" spans="1:18" x14ac:dyDescent="0.3">
      <c r="A911" s="9" t="s">
        <v>1571</v>
      </c>
      <c r="B911" s="10" t="s">
        <v>2086</v>
      </c>
      <c r="C911" s="11" t="s">
        <v>1596</v>
      </c>
      <c r="D911" s="12">
        <v>43985</v>
      </c>
      <c r="E911" s="12">
        <v>43985</v>
      </c>
      <c r="F911" s="13">
        <v>2231250</v>
      </c>
      <c r="G911" s="14">
        <v>0</v>
      </c>
      <c r="H911" s="9" t="s">
        <v>1597</v>
      </c>
      <c r="I911" s="15">
        <v>900112885</v>
      </c>
      <c r="J911" s="16" t="s">
        <v>1598</v>
      </c>
      <c r="K911" s="17">
        <v>15</v>
      </c>
      <c r="L911" s="18" t="s">
        <v>21</v>
      </c>
      <c r="M911" s="19">
        <v>125000</v>
      </c>
      <c r="N911" s="19">
        <f>M911*0.19</f>
        <v>23750</v>
      </c>
      <c r="O911" s="19">
        <f t="shared" si="62"/>
        <v>2231250</v>
      </c>
      <c r="P911" s="17" t="s">
        <v>82</v>
      </c>
      <c r="R911" s="31"/>
    </row>
    <row r="912" spans="1:18" x14ac:dyDescent="0.3">
      <c r="A912" s="9" t="s">
        <v>1571</v>
      </c>
      <c r="B912" s="10" t="s">
        <v>2087</v>
      </c>
      <c r="C912" s="11" t="s">
        <v>1600</v>
      </c>
      <c r="D912" s="12">
        <v>43987</v>
      </c>
      <c r="E912" s="12">
        <v>43987</v>
      </c>
      <c r="F912" s="13">
        <v>2485303.5</v>
      </c>
      <c r="G912" s="14">
        <v>0</v>
      </c>
      <c r="H912" s="9" t="s">
        <v>382</v>
      </c>
      <c r="I912" s="15">
        <v>900567130</v>
      </c>
      <c r="J912" s="16" t="s">
        <v>1601</v>
      </c>
      <c r="K912" s="46">
        <v>562</v>
      </c>
      <c r="L912" s="29" t="s">
        <v>36</v>
      </c>
      <c r="M912" s="19">
        <v>4422.2482206405693</v>
      </c>
      <c r="N912" s="19">
        <v>0</v>
      </c>
      <c r="O912" s="19">
        <f t="shared" si="62"/>
        <v>2485303.5</v>
      </c>
      <c r="P912" s="17" t="s">
        <v>39</v>
      </c>
      <c r="R912" s="31"/>
    </row>
    <row r="913" spans="1:18" x14ac:dyDescent="0.3">
      <c r="A913" s="9" t="s">
        <v>1571</v>
      </c>
      <c r="B913" s="10" t="s">
        <v>2088</v>
      </c>
      <c r="C913" s="11" t="s">
        <v>1602</v>
      </c>
      <c r="D913" s="12">
        <v>43994</v>
      </c>
      <c r="E913" s="12">
        <v>43994</v>
      </c>
      <c r="F913" s="13">
        <v>11313136</v>
      </c>
      <c r="G913" s="14">
        <v>0</v>
      </c>
      <c r="H913" s="9" t="s">
        <v>531</v>
      </c>
      <c r="I913" s="15">
        <v>890307682</v>
      </c>
      <c r="J913" s="16" t="s">
        <v>1603</v>
      </c>
      <c r="K913" s="17">
        <v>1600</v>
      </c>
      <c r="L913" s="18" t="s">
        <v>21</v>
      </c>
      <c r="M913" s="19">
        <v>7070.71</v>
      </c>
      <c r="N913" s="19">
        <v>0</v>
      </c>
      <c r="O913" s="19">
        <f t="shared" si="62"/>
        <v>11313136</v>
      </c>
      <c r="P913" s="17" t="s">
        <v>75</v>
      </c>
      <c r="R913" s="31"/>
    </row>
    <row r="914" spans="1:18" x14ac:dyDescent="0.3">
      <c r="A914" s="9" t="s">
        <v>1571</v>
      </c>
      <c r="B914" s="10" t="s">
        <v>2089</v>
      </c>
      <c r="C914" s="11" t="s">
        <v>1604</v>
      </c>
      <c r="D914" s="12">
        <v>44002</v>
      </c>
      <c r="E914" s="12">
        <v>44005</v>
      </c>
      <c r="F914" s="13">
        <v>8000000</v>
      </c>
      <c r="G914" s="14">
        <v>0</v>
      </c>
      <c r="H914" s="9" t="s">
        <v>1605</v>
      </c>
      <c r="I914" s="15">
        <v>46674022</v>
      </c>
      <c r="J914" s="16" t="s">
        <v>1606</v>
      </c>
      <c r="K914" s="17">
        <v>1</v>
      </c>
      <c r="L914" s="18" t="s">
        <v>44</v>
      </c>
      <c r="M914" s="19">
        <v>1600000</v>
      </c>
      <c r="N914" s="19">
        <v>0</v>
      </c>
      <c r="O914" s="19">
        <f>K914*(M914+N914)*5</f>
        <v>8000000</v>
      </c>
      <c r="P914" s="17" t="s">
        <v>45</v>
      </c>
      <c r="R914" s="31"/>
    </row>
    <row r="915" spans="1:18" x14ac:dyDescent="0.3">
      <c r="A915" s="9" t="s">
        <v>1571</v>
      </c>
      <c r="B915" s="10" t="s">
        <v>2090</v>
      </c>
      <c r="C915" s="11" t="s">
        <v>1604</v>
      </c>
      <c r="D915" s="12">
        <v>44002</v>
      </c>
      <c r="E915" s="12">
        <v>44005</v>
      </c>
      <c r="F915" s="13">
        <v>8000000</v>
      </c>
      <c r="G915" s="14">
        <v>0</v>
      </c>
      <c r="H915" s="9" t="s">
        <v>1607</v>
      </c>
      <c r="I915" s="15">
        <v>1057600328</v>
      </c>
      <c r="J915" s="16" t="s">
        <v>1606</v>
      </c>
      <c r="K915" s="17">
        <v>1</v>
      </c>
      <c r="L915" s="18" t="s">
        <v>44</v>
      </c>
      <c r="M915" s="19">
        <v>1600000</v>
      </c>
      <c r="N915" s="19">
        <v>0</v>
      </c>
      <c r="O915" s="19">
        <f t="shared" ref="O915:O923" si="64">K915*(M915+N915)*5</f>
        <v>8000000</v>
      </c>
      <c r="P915" s="17" t="s">
        <v>45</v>
      </c>
      <c r="R915" s="31"/>
    </row>
    <row r="916" spans="1:18" x14ac:dyDescent="0.3">
      <c r="A916" s="9" t="s">
        <v>1571</v>
      </c>
      <c r="B916" s="10" t="s">
        <v>2091</v>
      </c>
      <c r="C916" s="11" t="s">
        <v>1604</v>
      </c>
      <c r="D916" s="12">
        <v>44002</v>
      </c>
      <c r="E916" s="12">
        <v>44005</v>
      </c>
      <c r="F916" s="13">
        <v>8000000</v>
      </c>
      <c r="G916" s="14">
        <v>0</v>
      </c>
      <c r="H916" s="9" t="s">
        <v>1608</v>
      </c>
      <c r="I916" s="15">
        <v>1049620718</v>
      </c>
      <c r="J916" s="16" t="s">
        <v>1606</v>
      </c>
      <c r="K916" s="17">
        <v>1</v>
      </c>
      <c r="L916" s="18" t="s">
        <v>44</v>
      </c>
      <c r="M916" s="19">
        <v>1600000</v>
      </c>
      <c r="N916" s="19">
        <v>0</v>
      </c>
      <c r="O916" s="19">
        <f t="shared" si="64"/>
        <v>8000000</v>
      </c>
      <c r="P916" s="17" t="s">
        <v>45</v>
      </c>
      <c r="R916" s="31"/>
    </row>
    <row r="917" spans="1:18" x14ac:dyDescent="0.3">
      <c r="A917" s="9" t="s">
        <v>1571</v>
      </c>
      <c r="B917" s="10" t="s">
        <v>2092</v>
      </c>
      <c r="C917" s="11" t="s">
        <v>1604</v>
      </c>
      <c r="D917" s="12">
        <v>44005</v>
      </c>
      <c r="E917" s="12">
        <v>44006</v>
      </c>
      <c r="F917" s="13">
        <v>8000000</v>
      </c>
      <c r="G917" s="14">
        <v>0</v>
      </c>
      <c r="H917" s="9" t="s">
        <v>1609</v>
      </c>
      <c r="I917" s="15">
        <v>1002523080</v>
      </c>
      <c r="J917" s="16" t="s">
        <v>1606</v>
      </c>
      <c r="K917" s="17">
        <v>1</v>
      </c>
      <c r="L917" s="18" t="s">
        <v>44</v>
      </c>
      <c r="M917" s="19">
        <v>1600000</v>
      </c>
      <c r="N917" s="19">
        <v>0</v>
      </c>
      <c r="O917" s="19">
        <f t="shared" si="64"/>
        <v>8000000</v>
      </c>
      <c r="P917" s="17" t="s">
        <v>45</v>
      </c>
      <c r="R917" s="31"/>
    </row>
    <row r="918" spans="1:18" x14ac:dyDescent="0.3">
      <c r="A918" s="9" t="s">
        <v>1571</v>
      </c>
      <c r="B918" s="10" t="s">
        <v>2093</v>
      </c>
      <c r="C918" s="11" t="s">
        <v>1604</v>
      </c>
      <c r="D918" s="12">
        <v>44006</v>
      </c>
      <c r="E918" s="12">
        <v>44007</v>
      </c>
      <c r="F918" s="13">
        <v>8000000</v>
      </c>
      <c r="G918" s="14">
        <v>0</v>
      </c>
      <c r="H918" s="9" t="s">
        <v>1610</v>
      </c>
      <c r="I918" s="15">
        <v>1055312482</v>
      </c>
      <c r="J918" s="16" t="s">
        <v>1606</v>
      </c>
      <c r="K918" s="17">
        <v>1</v>
      </c>
      <c r="L918" s="18" t="s">
        <v>44</v>
      </c>
      <c r="M918" s="19">
        <v>1600000</v>
      </c>
      <c r="N918" s="19">
        <v>0</v>
      </c>
      <c r="O918" s="19">
        <f t="shared" si="64"/>
        <v>8000000</v>
      </c>
      <c r="P918" s="17" t="s">
        <v>45</v>
      </c>
      <c r="R918" s="31"/>
    </row>
    <row r="919" spans="1:18" x14ac:dyDescent="0.3">
      <c r="A919" s="9" t="s">
        <v>1571</v>
      </c>
      <c r="B919" s="10" t="s">
        <v>2094</v>
      </c>
      <c r="C919" s="11" t="s">
        <v>1604</v>
      </c>
      <c r="D919" s="12">
        <v>44012</v>
      </c>
      <c r="E919" s="12">
        <v>44164</v>
      </c>
      <c r="F919" s="13">
        <v>8000000</v>
      </c>
      <c r="G919" s="14">
        <v>0</v>
      </c>
      <c r="H919" s="9" t="s">
        <v>1611</v>
      </c>
      <c r="I919" s="15">
        <v>46385024</v>
      </c>
      <c r="J919" s="16" t="s">
        <v>1606</v>
      </c>
      <c r="K919" s="17">
        <v>1</v>
      </c>
      <c r="L919" s="18" t="s">
        <v>44</v>
      </c>
      <c r="M919" s="19">
        <v>1600000</v>
      </c>
      <c r="N919" s="19">
        <v>0</v>
      </c>
      <c r="O919" s="19">
        <f t="shared" si="64"/>
        <v>8000000</v>
      </c>
      <c r="P919" s="17" t="s">
        <v>45</v>
      </c>
      <c r="R919" s="31"/>
    </row>
    <row r="920" spans="1:18" x14ac:dyDescent="0.3">
      <c r="A920" s="9" t="s">
        <v>1571</v>
      </c>
      <c r="B920" s="10" t="s">
        <v>2095</v>
      </c>
      <c r="C920" s="11" t="s">
        <v>1604</v>
      </c>
      <c r="D920" s="12">
        <v>44013</v>
      </c>
      <c r="E920" s="12">
        <v>44165</v>
      </c>
      <c r="F920" s="13">
        <v>8000000</v>
      </c>
      <c r="G920" s="14">
        <v>0</v>
      </c>
      <c r="H920" s="9" t="s">
        <v>1612</v>
      </c>
      <c r="I920" s="15">
        <v>46369935</v>
      </c>
      <c r="J920" s="16" t="s">
        <v>1606</v>
      </c>
      <c r="K920" s="17">
        <v>1</v>
      </c>
      <c r="L920" s="18" t="s">
        <v>44</v>
      </c>
      <c r="M920" s="19">
        <v>1600000</v>
      </c>
      <c r="N920" s="19">
        <v>0</v>
      </c>
      <c r="O920" s="19">
        <f t="shared" si="64"/>
        <v>8000000</v>
      </c>
      <c r="P920" s="17" t="s">
        <v>45</v>
      </c>
      <c r="R920" s="31"/>
    </row>
    <row r="921" spans="1:18" x14ac:dyDescent="0.3">
      <c r="A921" s="9" t="s">
        <v>1571</v>
      </c>
      <c r="B921" s="10" t="s">
        <v>2096</v>
      </c>
      <c r="C921" s="11" t="s">
        <v>1604</v>
      </c>
      <c r="D921" s="12">
        <v>44013</v>
      </c>
      <c r="E921" s="12">
        <v>44165</v>
      </c>
      <c r="F921" s="13">
        <v>8000000</v>
      </c>
      <c r="G921" s="14">
        <v>0</v>
      </c>
      <c r="H921" s="9" t="s">
        <v>1613</v>
      </c>
      <c r="I921" s="15">
        <v>1052314062</v>
      </c>
      <c r="J921" s="16" t="s">
        <v>1606</v>
      </c>
      <c r="K921" s="17">
        <v>1</v>
      </c>
      <c r="L921" s="18" t="s">
        <v>44</v>
      </c>
      <c r="M921" s="19">
        <v>1600000</v>
      </c>
      <c r="N921" s="19">
        <v>0</v>
      </c>
      <c r="O921" s="19">
        <f t="shared" si="64"/>
        <v>8000000</v>
      </c>
      <c r="P921" s="17" t="s">
        <v>45</v>
      </c>
      <c r="R921" s="31"/>
    </row>
    <row r="922" spans="1:18" x14ac:dyDescent="0.3">
      <c r="A922" s="9" t="s">
        <v>1571</v>
      </c>
      <c r="B922" s="10" t="s">
        <v>2097</v>
      </c>
      <c r="C922" s="11" t="s">
        <v>1604</v>
      </c>
      <c r="D922" s="12">
        <v>44018</v>
      </c>
      <c r="E922" s="12">
        <v>44170</v>
      </c>
      <c r="F922" s="13">
        <v>8000000</v>
      </c>
      <c r="G922" s="14">
        <v>0</v>
      </c>
      <c r="H922" s="9" t="s">
        <v>1614</v>
      </c>
      <c r="I922" s="15">
        <v>23783733</v>
      </c>
      <c r="J922" s="16" t="s">
        <v>1606</v>
      </c>
      <c r="K922" s="17">
        <v>1</v>
      </c>
      <c r="L922" s="18" t="s">
        <v>44</v>
      </c>
      <c r="M922" s="19">
        <v>1600000</v>
      </c>
      <c r="N922" s="19">
        <v>0</v>
      </c>
      <c r="O922" s="19">
        <f t="shared" si="64"/>
        <v>8000000</v>
      </c>
      <c r="P922" s="17" t="s">
        <v>45</v>
      </c>
      <c r="R922" s="31"/>
    </row>
    <row r="923" spans="1:18" x14ac:dyDescent="0.3">
      <c r="A923" s="9" t="s">
        <v>1571</v>
      </c>
      <c r="B923" s="10" t="s">
        <v>2098</v>
      </c>
      <c r="C923" s="11" t="s">
        <v>1604</v>
      </c>
      <c r="D923" s="12">
        <v>44041</v>
      </c>
      <c r="E923" s="12">
        <v>44193</v>
      </c>
      <c r="F923" s="13">
        <v>8000000</v>
      </c>
      <c r="G923" s="14">
        <v>0</v>
      </c>
      <c r="H923" s="9" t="s">
        <v>1615</v>
      </c>
      <c r="I923" s="15">
        <v>23427767</v>
      </c>
      <c r="J923" s="16" t="s">
        <v>1606</v>
      </c>
      <c r="K923" s="17">
        <v>1</v>
      </c>
      <c r="L923" s="18" t="s">
        <v>44</v>
      </c>
      <c r="M923" s="19">
        <v>1600000</v>
      </c>
      <c r="N923" s="19">
        <v>0</v>
      </c>
      <c r="O923" s="19">
        <f t="shared" si="64"/>
        <v>8000000</v>
      </c>
      <c r="P923" s="17" t="s">
        <v>45</v>
      </c>
      <c r="R923" s="31"/>
    </row>
    <row r="924" spans="1:18" x14ac:dyDescent="0.3">
      <c r="A924" s="9" t="s">
        <v>1571</v>
      </c>
      <c r="B924" s="10" t="s">
        <v>2099</v>
      </c>
      <c r="C924" s="11" t="s">
        <v>1604</v>
      </c>
      <c r="D924" s="12">
        <v>44061</v>
      </c>
      <c r="E924" s="12">
        <v>44061</v>
      </c>
      <c r="F924" s="13">
        <v>7093333</v>
      </c>
      <c r="G924" s="14">
        <v>0</v>
      </c>
      <c r="H924" s="9" t="s">
        <v>1616</v>
      </c>
      <c r="I924" s="15">
        <v>1116544773</v>
      </c>
      <c r="J924" s="16" t="s">
        <v>1950</v>
      </c>
      <c r="K924" s="17">
        <v>1</v>
      </c>
      <c r="L924" s="18" t="s">
        <v>44</v>
      </c>
      <c r="M924" s="19">
        <v>1600000</v>
      </c>
      <c r="N924" s="19">
        <v>0</v>
      </c>
      <c r="O924" s="19">
        <f>(M924/30)*133</f>
        <v>7093333.333333334</v>
      </c>
      <c r="P924" s="17" t="s">
        <v>45</v>
      </c>
      <c r="R924" s="31"/>
    </row>
    <row r="925" spans="1:18" x14ac:dyDescent="0.3">
      <c r="A925" s="9" t="s">
        <v>1571</v>
      </c>
      <c r="B925" s="10" t="s">
        <v>2100</v>
      </c>
      <c r="C925" s="11" t="s">
        <v>1604</v>
      </c>
      <c r="D925" s="12">
        <v>44069</v>
      </c>
      <c r="E925" s="12">
        <v>44069</v>
      </c>
      <c r="F925" s="13">
        <v>6613333</v>
      </c>
      <c r="G925" s="14">
        <v>0</v>
      </c>
      <c r="H925" s="9" t="s">
        <v>1617</v>
      </c>
      <c r="I925" s="15">
        <v>1049654832</v>
      </c>
      <c r="J925" s="16" t="s">
        <v>1951</v>
      </c>
      <c r="K925" s="17">
        <v>1</v>
      </c>
      <c r="L925" s="18" t="s">
        <v>44</v>
      </c>
      <c r="M925" s="19">
        <v>1600000</v>
      </c>
      <c r="N925" s="19">
        <v>0</v>
      </c>
      <c r="O925" s="19">
        <f>(M925/30)*124</f>
        <v>6613333.333333334</v>
      </c>
      <c r="P925" s="17" t="s">
        <v>45</v>
      </c>
      <c r="R925" s="31"/>
    </row>
    <row r="926" spans="1:18" x14ac:dyDescent="0.3">
      <c r="A926" s="9" t="s">
        <v>1571</v>
      </c>
      <c r="B926" s="10" t="s">
        <v>2101</v>
      </c>
      <c r="C926" s="11" t="s">
        <v>1604</v>
      </c>
      <c r="D926" s="12">
        <v>44090</v>
      </c>
      <c r="E926" s="12">
        <v>44090</v>
      </c>
      <c r="F926" s="13">
        <v>4906667</v>
      </c>
      <c r="G926" s="14">
        <v>0</v>
      </c>
      <c r="H926" s="9" t="s">
        <v>1618</v>
      </c>
      <c r="I926" s="15">
        <v>1072446724</v>
      </c>
      <c r="J926" s="16" t="s">
        <v>1952</v>
      </c>
      <c r="K926" s="17">
        <v>1</v>
      </c>
      <c r="L926" s="18" t="s">
        <v>44</v>
      </c>
      <c r="M926" s="19">
        <v>1600000</v>
      </c>
      <c r="N926" s="19">
        <v>0</v>
      </c>
      <c r="O926" s="19">
        <f>(M926/30)*92</f>
        <v>4906666.666666667</v>
      </c>
      <c r="P926" s="17" t="s">
        <v>45</v>
      </c>
      <c r="R926" s="31"/>
    </row>
    <row r="927" spans="1:18" x14ac:dyDescent="0.3">
      <c r="A927" s="9" t="s">
        <v>1571</v>
      </c>
      <c r="B927" s="10" t="s">
        <v>2102</v>
      </c>
      <c r="C927" s="11" t="s">
        <v>1604</v>
      </c>
      <c r="D927" s="12">
        <v>44091</v>
      </c>
      <c r="E927" s="12">
        <v>44091</v>
      </c>
      <c r="F927" s="13">
        <v>5546667</v>
      </c>
      <c r="G927" s="14">
        <v>0</v>
      </c>
      <c r="H927" s="9" t="s">
        <v>1619</v>
      </c>
      <c r="I927" s="15">
        <v>23637799</v>
      </c>
      <c r="J927" s="16" t="s">
        <v>1953</v>
      </c>
      <c r="K927" s="17">
        <v>1</v>
      </c>
      <c r="L927" s="18" t="s">
        <v>44</v>
      </c>
      <c r="M927" s="19">
        <v>1600000</v>
      </c>
      <c r="N927" s="19">
        <v>0</v>
      </c>
      <c r="O927" s="19">
        <f>(M927/30)*104</f>
        <v>5546666.666666667</v>
      </c>
      <c r="P927" s="17" t="s">
        <v>45</v>
      </c>
      <c r="R927" s="31"/>
    </row>
    <row r="928" spans="1:18" x14ac:dyDescent="0.3">
      <c r="A928" s="9" t="s">
        <v>1571</v>
      </c>
      <c r="B928" s="10" t="s">
        <v>2103</v>
      </c>
      <c r="C928" s="11" t="s">
        <v>1828</v>
      </c>
      <c r="D928" s="12">
        <v>44099</v>
      </c>
      <c r="E928" s="12">
        <v>44099</v>
      </c>
      <c r="F928" s="13">
        <v>8030300.8099999996</v>
      </c>
      <c r="G928" s="14">
        <v>0</v>
      </c>
      <c r="H928" s="9" t="s">
        <v>1257</v>
      </c>
      <c r="I928" s="15">
        <v>9003309573</v>
      </c>
      <c r="J928" s="16" t="s">
        <v>49</v>
      </c>
      <c r="K928" s="17">
        <v>50000</v>
      </c>
      <c r="L928" s="18" t="s">
        <v>21</v>
      </c>
      <c r="M928" s="19">
        <v>144.4444</v>
      </c>
      <c r="N928" s="19">
        <v>0</v>
      </c>
      <c r="O928" s="19">
        <f t="shared" si="62"/>
        <v>7222220</v>
      </c>
      <c r="P928" s="17" t="s">
        <v>31</v>
      </c>
      <c r="R928" s="31"/>
    </row>
    <row r="929" spans="1:18" x14ac:dyDescent="0.3">
      <c r="A929" s="9" t="s">
        <v>1571</v>
      </c>
      <c r="B929" s="10" t="s">
        <v>2104</v>
      </c>
      <c r="C929" s="11" t="s">
        <v>1828</v>
      </c>
      <c r="D929" s="12">
        <v>44099</v>
      </c>
      <c r="E929" s="12">
        <v>44099</v>
      </c>
      <c r="F929" s="13">
        <v>32218793.190000001</v>
      </c>
      <c r="G929" s="14">
        <v>0</v>
      </c>
      <c r="H929" s="9" t="s">
        <v>964</v>
      </c>
      <c r="I929" s="15">
        <v>8300013381</v>
      </c>
      <c r="J929" s="16" t="s">
        <v>1583</v>
      </c>
      <c r="K929" s="17">
        <v>1200</v>
      </c>
      <c r="L929" s="29" t="s">
        <v>2135</v>
      </c>
      <c r="M929" s="19">
        <v>2838.38</v>
      </c>
      <c r="N929" s="19">
        <f>M929*0.19</f>
        <v>539.29219999999998</v>
      </c>
      <c r="O929" s="19">
        <f t="shared" si="62"/>
        <v>4053206.64</v>
      </c>
      <c r="P929" s="21" t="s">
        <v>656</v>
      </c>
      <c r="R929" s="31"/>
    </row>
    <row r="930" spans="1:18" x14ac:dyDescent="0.3">
      <c r="A930" s="9" t="s">
        <v>1571</v>
      </c>
      <c r="B930" s="10" t="s">
        <v>2104</v>
      </c>
      <c r="C930" s="11" t="s">
        <v>1828</v>
      </c>
      <c r="D930" s="12">
        <v>44099</v>
      </c>
      <c r="E930" s="12">
        <v>44099</v>
      </c>
      <c r="F930" s="13">
        <v>32218793.190000001</v>
      </c>
      <c r="G930" s="14">
        <v>0</v>
      </c>
      <c r="H930" s="9" t="s">
        <v>964</v>
      </c>
      <c r="I930" s="15">
        <v>8300013381</v>
      </c>
      <c r="J930" s="16" t="s">
        <v>1621</v>
      </c>
      <c r="K930" s="17">
        <v>4000</v>
      </c>
      <c r="L930" s="18" t="s">
        <v>36</v>
      </c>
      <c r="M930" s="19">
        <v>4680.8100000000004</v>
      </c>
      <c r="N930" s="19">
        <v>0</v>
      </c>
      <c r="O930" s="19">
        <f t="shared" si="62"/>
        <v>18723240</v>
      </c>
      <c r="P930" s="17" t="s">
        <v>37</v>
      </c>
      <c r="R930" s="31"/>
    </row>
    <row r="931" spans="1:18" x14ac:dyDescent="0.3">
      <c r="A931" s="9" t="s">
        <v>1571</v>
      </c>
      <c r="B931" s="10" t="s">
        <v>2104</v>
      </c>
      <c r="C931" s="11" t="s">
        <v>1828</v>
      </c>
      <c r="D931" s="12">
        <v>44099</v>
      </c>
      <c r="E931" s="12">
        <v>44099</v>
      </c>
      <c r="F931" s="13">
        <v>32218793.190000001</v>
      </c>
      <c r="G931" s="14">
        <v>0</v>
      </c>
      <c r="H931" s="9" t="s">
        <v>964</v>
      </c>
      <c r="I931" s="15">
        <v>8300013381</v>
      </c>
      <c r="J931" s="16" t="s">
        <v>1601</v>
      </c>
      <c r="K931" s="46">
        <v>2915</v>
      </c>
      <c r="L931" s="18" t="s">
        <v>36</v>
      </c>
      <c r="M931" s="19">
        <v>1679.8942999999999</v>
      </c>
      <c r="N931" s="19">
        <v>0</v>
      </c>
      <c r="O931" s="19">
        <f t="shared" si="62"/>
        <v>4896891.8844999997</v>
      </c>
      <c r="P931" s="17" t="s">
        <v>39</v>
      </c>
      <c r="R931" s="31"/>
    </row>
    <row r="932" spans="1:18" x14ac:dyDescent="0.3">
      <c r="A932" s="9" t="s">
        <v>1571</v>
      </c>
      <c r="B932" s="10" t="s">
        <v>2105</v>
      </c>
      <c r="C932" s="11" t="s">
        <v>1828</v>
      </c>
      <c r="D932" s="12">
        <v>44099</v>
      </c>
      <c r="E932" s="12">
        <v>44099</v>
      </c>
      <c r="F932" s="13">
        <v>21119692.010000002</v>
      </c>
      <c r="G932" s="14">
        <v>0</v>
      </c>
      <c r="H932" s="9" t="s">
        <v>769</v>
      </c>
      <c r="I932" s="15">
        <v>900724561</v>
      </c>
      <c r="J932" s="16" t="s">
        <v>1592</v>
      </c>
      <c r="K932" s="17">
        <v>5756</v>
      </c>
      <c r="L932" s="18" t="s">
        <v>36</v>
      </c>
      <c r="M932" s="19">
        <v>3528.7719000000002</v>
      </c>
      <c r="N932" s="19">
        <v>0</v>
      </c>
      <c r="O932" s="19">
        <f t="shared" si="62"/>
        <v>20311611.056400001</v>
      </c>
      <c r="P932" s="17" t="s">
        <v>161</v>
      </c>
      <c r="R932" s="31"/>
    </row>
    <row r="933" spans="1:18" x14ac:dyDescent="0.3">
      <c r="A933" s="9" t="s">
        <v>1571</v>
      </c>
      <c r="B933" s="10" t="s">
        <v>2106</v>
      </c>
      <c r="C933" s="11" t="s">
        <v>1604</v>
      </c>
      <c r="D933" s="12">
        <v>44109</v>
      </c>
      <c r="E933" s="12">
        <v>44109</v>
      </c>
      <c r="F933" s="13">
        <v>4586667</v>
      </c>
      <c r="G933" s="14">
        <v>0</v>
      </c>
      <c r="H933" s="9" t="s">
        <v>1622</v>
      </c>
      <c r="I933" s="15">
        <v>33645337</v>
      </c>
      <c r="J933" s="16" t="s">
        <v>1954</v>
      </c>
      <c r="K933" s="17">
        <v>1</v>
      </c>
      <c r="L933" s="18" t="s">
        <v>44</v>
      </c>
      <c r="M933" s="19">
        <v>1600000</v>
      </c>
      <c r="N933" s="19">
        <v>0</v>
      </c>
      <c r="O933" s="19">
        <f>(M933/30)*86</f>
        <v>4586666.666666667</v>
      </c>
      <c r="P933" s="17" t="s">
        <v>45</v>
      </c>
      <c r="R933" s="31"/>
    </row>
    <row r="934" spans="1:18" x14ac:dyDescent="0.3">
      <c r="A934" s="9" t="s">
        <v>1571</v>
      </c>
      <c r="B934" s="10" t="s">
        <v>2107</v>
      </c>
      <c r="C934" s="11" t="s">
        <v>1829</v>
      </c>
      <c r="D934" s="12">
        <v>44106</v>
      </c>
      <c r="E934" s="12">
        <v>44106</v>
      </c>
      <c r="F934" s="13">
        <v>19944445</v>
      </c>
      <c r="G934" s="14">
        <v>0</v>
      </c>
      <c r="H934" s="9" t="s">
        <v>797</v>
      </c>
      <c r="I934" s="15">
        <v>830051855</v>
      </c>
      <c r="J934" s="16" t="s">
        <v>1595</v>
      </c>
      <c r="K934" s="17">
        <v>500</v>
      </c>
      <c r="L934" s="18" t="s">
        <v>70</v>
      </c>
      <c r="M934" s="19">
        <v>39888.89</v>
      </c>
      <c r="N934" s="19">
        <v>0</v>
      </c>
      <c r="O934" s="19">
        <f t="shared" si="62"/>
        <v>19944445</v>
      </c>
      <c r="P934" s="17" t="s">
        <v>69</v>
      </c>
      <c r="R934" s="31"/>
    </row>
    <row r="935" spans="1:18" x14ac:dyDescent="0.3">
      <c r="A935" s="9" t="s">
        <v>1571</v>
      </c>
      <c r="B935" s="10" t="s">
        <v>2108</v>
      </c>
      <c r="C935" s="11" t="s">
        <v>1829</v>
      </c>
      <c r="D935" s="12">
        <v>44106</v>
      </c>
      <c r="E935" s="12">
        <v>44106</v>
      </c>
      <c r="F935" s="13">
        <v>27065650.41</v>
      </c>
      <c r="G935" s="14">
        <v>0</v>
      </c>
      <c r="H935" s="9" t="s">
        <v>1623</v>
      </c>
      <c r="I935" s="15">
        <v>830082701</v>
      </c>
      <c r="J935" s="16" t="s">
        <v>1592</v>
      </c>
      <c r="K935" s="17">
        <v>7369</v>
      </c>
      <c r="L935" s="18" t="s">
        <v>36</v>
      </c>
      <c r="M935" s="19">
        <v>3501.5639000000001</v>
      </c>
      <c r="N935" s="19">
        <v>0</v>
      </c>
      <c r="O935" s="19">
        <f t="shared" si="62"/>
        <v>25803024.379100002</v>
      </c>
      <c r="P935" s="17" t="s">
        <v>161</v>
      </c>
      <c r="R935" s="31"/>
    </row>
    <row r="936" spans="1:18" x14ac:dyDescent="0.3">
      <c r="A936" s="9" t="s">
        <v>1571</v>
      </c>
      <c r="B936" s="10" t="s">
        <v>2109</v>
      </c>
      <c r="C936" s="11" t="s">
        <v>1829</v>
      </c>
      <c r="D936" s="12">
        <v>44106</v>
      </c>
      <c r="E936" s="12">
        <v>44106</v>
      </c>
      <c r="F936" s="13">
        <v>8265648.4800000004</v>
      </c>
      <c r="G936" s="14">
        <v>0</v>
      </c>
      <c r="H936" s="9" t="s">
        <v>1624</v>
      </c>
      <c r="I936" s="15">
        <v>900801396</v>
      </c>
      <c r="J936" s="16" t="s">
        <v>1586</v>
      </c>
      <c r="K936" s="17">
        <v>8000</v>
      </c>
      <c r="L936" s="18" t="s">
        <v>21</v>
      </c>
      <c r="M936" s="19">
        <v>1010.1</v>
      </c>
      <c r="N936" s="19">
        <v>0</v>
      </c>
      <c r="O936" s="19">
        <f t="shared" si="62"/>
        <v>8080800</v>
      </c>
      <c r="P936" s="17" t="s">
        <v>31</v>
      </c>
    </row>
    <row r="937" spans="1:18" x14ac:dyDescent="0.3">
      <c r="A937" s="9" t="s">
        <v>1571</v>
      </c>
      <c r="B937" s="10" t="s">
        <v>2110</v>
      </c>
      <c r="C937" s="11" t="s">
        <v>1830</v>
      </c>
      <c r="D937" s="12">
        <v>44140</v>
      </c>
      <c r="E937" s="12">
        <v>44140</v>
      </c>
      <c r="F937" s="13">
        <v>9558000</v>
      </c>
      <c r="G937" s="14">
        <v>0</v>
      </c>
      <c r="H937" s="9" t="s">
        <v>1625</v>
      </c>
      <c r="I937" s="15">
        <v>6770611</v>
      </c>
      <c r="J937" s="16" t="s">
        <v>1626</v>
      </c>
      <c r="K937" s="17">
        <v>60</v>
      </c>
      <c r="L937" s="18" t="s">
        <v>21</v>
      </c>
      <c r="M937" s="19">
        <v>64900</v>
      </c>
      <c r="N937" s="19">
        <v>0</v>
      </c>
      <c r="O937" s="19">
        <f t="shared" si="62"/>
        <v>3894000</v>
      </c>
      <c r="P937" s="17" t="s">
        <v>87</v>
      </c>
    </row>
    <row r="938" spans="1:18" x14ac:dyDescent="0.3">
      <c r="A938" s="9" t="s">
        <v>1571</v>
      </c>
      <c r="B938" s="10" t="s">
        <v>2110</v>
      </c>
      <c r="C938" s="11" t="s">
        <v>1830</v>
      </c>
      <c r="D938" s="12">
        <v>44140</v>
      </c>
      <c r="E938" s="12">
        <v>44140</v>
      </c>
      <c r="F938" s="13">
        <v>9558000</v>
      </c>
      <c r="G938" s="14">
        <v>0</v>
      </c>
      <c r="H938" s="9" t="s">
        <v>1625</v>
      </c>
      <c r="I938" s="15">
        <v>6770611</v>
      </c>
      <c r="J938" s="16" t="s">
        <v>1627</v>
      </c>
      <c r="K938" s="17">
        <v>60</v>
      </c>
      <c r="L938" s="18" t="s">
        <v>21</v>
      </c>
      <c r="M938" s="19">
        <v>94900</v>
      </c>
      <c r="N938" s="19">
        <v>0</v>
      </c>
      <c r="O938" s="19">
        <f t="shared" si="62"/>
        <v>5694000</v>
      </c>
      <c r="P938" s="17" t="s">
        <v>87</v>
      </c>
    </row>
    <row r="939" spans="1:18" x14ac:dyDescent="0.3">
      <c r="A939" s="9" t="s">
        <v>1571</v>
      </c>
      <c r="B939" s="10" t="s">
        <v>2111</v>
      </c>
      <c r="C939" s="11" t="s">
        <v>1829</v>
      </c>
      <c r="D939" s="12">
        <v>44181</v>
      </c>
      <c r="E939" s="12">
        <v>44181</v>
      </c>
      <c r="F939" s="13">
        <v>1101009.0900000001</v>
      </c>
      <c r="G939" s="14">
        <v>0</v>
      </c>
      <c r="H939" s="9" t="s">
        <v>1628</v>
      </c>
      <c r="I939" s="15">
        <v>900907931</v>
      </c>
      <c r="J939" s="16" t="s">
        <v>1603</v>
      </c>
      <c r="K939" s="17">
        <v>500</v>
      </c>
      <c r="L939" s="18" t="s">
        <v>21</v>
      </c>
      <c r="M939" s="19">
        <v>2020.2</v>
      </c>
      <c r="N939" s="19">
        <v>0</v>
      </c>
      <c r="O939" s="19">
        <f t="shared" si="62"/>
        <v>1010100</v>
      </c>
      <c r="P939" s="17" t="s">
        <v>75</v>
      </c>
    </row>
    <row r="940" spans="1:18" x14ac:dyDescent="0.3">
      <c r="A940" s="9" t="s">
        <v>1571</v>
      </c>
      <c r="B940" s="10" t="s">
        <v>2112</v>
      </c>
      <c r="C940" s="11" t="s">
        <v>1829</v>
      </c>
      <c r="D940" s="12">
        <v>44182</v>
      </c>
      <c r="E940" s="12">
        <v>44182</v>
      </c>
      <c r="F940" s="13">
        <v>17242425</v>
      </c>
      <c r="G940" s="14">
        <v>0</v>
      </c>
      <c r="H940" s="9" t="s">
        <v>401</v>
      </c>
      <c r="I940" s="15">
        <v>901211678</v>
      </c>
      <c r="J940" s="16" t="s">
        <v>1595</v>
      </c>
      <c r="K940" s="17">
        <v>300</v>
      </c>
      <c r="L940" s="18" t="s">
        <v>70</v>
      </c>
      <c r="M940" s="19">
        <v>57474.75</v>
      </c>
      <c r="N940" s="19">
        <v>0</v>
      </c>
      <c r="O940" s="19">
        <f t="shared" si="62"/>
        <v>17242425</v>
      </c>
      <c r="P940" s="17" t="s">
        <v>69</v>
      </c>
    </row>
    <row r="941" spans="1:18" x14ac:dyDescent="0.3">
      <c r="A941" s="9" t="s">
        <v>1629</v>
      </c>
      <c r="B941" s="10" t="s">
        <v>2113</v>
      </c>
      <c r="C941" s="11" t="s">
        <v>1630</v>
      </c>
      <c r="D941" s="12">
        <v>43928</v>
      </c>
      <c r="E941" s="12">
        <v>43936</v>
      </c>
      <c r="F941" s="13">
        <v>4522000</v>
      </c>
      <c r="G941" s="14">
        <v>0</v>
      </c>
      <c r="H941" s="9" t="s">
        <v>1631</v>
      </c>
      <c r="I941" s="15">
        <v>901095058</v>
      </c>
      <c r="J941" s="16" t="s">
        <v>1632</v>
      </c>
      <c r="K941" s="17">
        <v>200</v>
      </c>
      <c r="L941" s="29" t="s">
        <v>21</v>
      </c>
      <c r="M941" s="19">
        <v>19000</v>
      </c>
      <c r="N941" s="19">
        <f t="shared" ref="N941:N942" si="65">M941*0.19</f>
        <v>3610</v>
      </c>
      <c r="O941" s="19">
        <f t="shared" si="62"/>
        <v>4522000</v>
      </c>
      <c r="P941" s="21" t="s">
        <v>22</v>
      </c>
    </row>
    <row r="942" spans="1:18" x14ac:dyDescent="0.3">
      <c r="A942" s="9" t="s">
        <v>1629</v>
      </c>
      <c r="B942" s="10" t="s">
        <v>2114</v>
      </c>
      <c r="C942" s="11" t="s">
        <v>1633</v>
      </c>
      <c r="D942" s="12">
        <v>43931</v>
      </c>
      <c r="E942" s="12">
        <v>43936</v>
      </c>
      <c r="F942" s="13">
        <v>21896000</v>
      </c>
      <c r="G942" s="14">
        <v>0</v>
      </c>
      <c r="H942" s="9" t="s">
        <v>1634</v>
      </c>
      <c r="I942" s="15">
        <v>900712491</v>
      </c>
      <c r="J942" s="16" t="s">
        <v>1635</v>
      </c>
      <c r="K942" s="17">
        <v>20000</v>
      </c>
      <c r="L942" s="18" t="s">
        <v>21</v>
      </c>
      <c r="M942" s="19">
        <v>920</v>
      </c>
      <c r="N942" s="19">
        <f t="shared" si="65"/>
        <v>174.8</v>
      </c>
      <c r="O942" s="19">
        <f t="shared" si="62"/>
        <v>21896000</v>
      </c>
      <c r="P942" s="17" t="s">
        <v>31</v>
      </c>
    </row>
    <row r="943" spans="1:18" x14ac:dyDescent="0.3">
      <c r="A943" s="9" t="s">
        <v>1629</v>
      </c>
      <c r="B943" s="10" t="s">
        <v>2115</v>
      </c>
      <c r="C943" s="11" t="s">
        <v>1636</v>
      </c>
      <c r="D943" s="12">
        <v>43934</v>
      </c>
      <c r="E943" s="12">
        <v>43936</v>
      </c>
      <c r="F943" s="13">
        <v>5650000</v>
      </c>
      <c r="G943" s="14">
        <v>0</v>
      </c>
      <c r="H943" s="9" t="s">
        <v>1637</v>
      </c>
      <c r="I943" s="15">
        <v>34535703</v>
      </c>
      <c r="J943" s="16" t="s">
        <v>1638</v>
      </c>
      <c r="K943" s="17">
        <v>200</v>
      </c>
      <c r="L943" s="18" t="s">
        <v>70</v>
      </c>
      <c r="M943" s="19">
        <v>28250</v>
      </c>
      <c r="N943" s="19">
        <v>0</v>
      </c>
      <c r="O943" s="19">
        <f t="shared" si="62"/>
        <v>5650000</v>
      </c>
      <c r="P943" s="21" t="s">
        <v>145</v>
      </c>
    </row>
    <row r="944" spans="1:18" x14ac:dyDescent="0.3">
      <c r="A944" s="9" t="s">
        <v>1629</v>
      </c>
      <c r="B944" s="10" t="s">
        <v>2116</v>
      </c>
      <c r="C944" s="11" t="s">
        <v>1639</v>
      </c>
      <c r="D944" s="12">
        <v>43945</v>
      </c>
      <c r="E944" s="12">
        <v>43948</v>
      </c>
      <c r="F944" s="13">
        <v>2580000</v>
      </c>
      <c r="G944" s="14">
        <v>0</v>
      </c>
      <c r="H944" s="9" t="s">
        <v>1640</v>
      </c>
      <c r="I944" s="15">
        <v>901322759</v>
      </c>
      <c r="J944" s="16" t="s">
        <v>1641</v>
      </c>
      <c r="K944" s="17">
        <v>300</v>
      </c>
      <c r="L944" s="18" t="s">
        <v>36</v>
      </c>
      <c r="M944" s="19">
        <v>8600</v>
      </c>
      <c r="N944" s="19">
        <v>0</v>
      </c>
      <c r="O944" s="19">
        <f t="shared" si="62"/>
        <v>2580000</v>
      </c>
      <c r="P944" s="21" t="s">
        <v>161</v>
      </c>
    </row>
    <row r="945" spans="1:16" x14ac:dyDescent="0.3">
      <c r="A945" s="9" t="s">
        <v>1629</v>
      </c>
      <c r="B945" s="10" t="s">
        <v>1642</v>
      </c>
      <c r="C945" s="11" t="s">
        <v>1643</v>
      </c>
      <c r="D945" s="12">
        <v>43955</v>
      </c>
      <c r="E945" s="12">
        <v>43955</v>
      </c>
      <c r="F945" s="13">
        <v>12251660.609999999</v>
      </c>
      <c r="G945" s="14">
        <v>0</v>
      </c>
      <c r="H945" s="9" t="s">
        <v>60</v>
      </c>
      <c r="I945" s="15">
        <v>83001338</v>
      </c>
      <c r="J945" s="16" t="s">
        <v>1644</v>
      </c>
      <c r="K945" s="17">
        <v>1310</v>
      </c>
      <c r="L945" s="29" t="s">
        <v>2135</v>
      </c>
      <c r="M945" s="19">
        <v>5880.21</v>
      </c>
      <c r="N945" s="19">
        <f>M945*0.19</f>
        <v>1117.2399</v>
      </c>
      <c r="O945" s="19">
        <f t="shared" si="62"/>
        <v>9166659.368999999</v>
      </c>
      <c r="P945" s="21" t="s">
        <v>656</v>
      </c>
    </row>
    <row r="946" spans="1:16" x14ac:dyDescent="0.3">
      <c r="A946" s="9" t="s">
        <v>1629</v>
      </c>
      <c r="B946" s="10" t="s">
        <v>1642</v>
      </c>
      <c r="C946" s="11" t="s">
        <v>1643</v>
      </c>
      <c r="D946" s="12">
        <v>43955</v>
      </c>
      <c r="E946" s="12">
        <v>43955</v>
      </c>
      <c r="F946" s="13">
        <v>12251660.609999999</v>
      </c>
      <c r="G946" s="14">
        <v>0</v>
      </c>
      <c r="H946" s="9" t="s">
        <v>60</v>
      </c>
      <c r="I946" s="15">
        <v>83001338</v>
      </c>
      <c r="J946" s="16" t="s">
        <v>1645</v>
      </c>
      <c r="K946" s="17">
        <v>800</v>
      </c>
      <c r="L946" s="29" t="s">
        <v>36</v>
      </c>
      <c r="M946" s="19">
        <v>3856.25</v>
      </c>
      <c r="N946" s="19">
        <v>0</v>
      </c>
      <c r="O946" s="19">
        <f t="shared" si="62"/>
        <v>3085000</v>
      </c>
      <c r="P946" s="21" t="s">
        <v>39</v>
      </c>
    </row>
    <row r="947" spans="1:16" x14ac:dyDescent="0.3">
      <c r="A947" s="9" t="s">
        <v>1629</v>
      </c>
      <c r="B947" s="10" t="s">
        <v>1646</v>
      </c>
      <c r="C947" s="11" t="s">
        <v>1647</v>
      </c>
      <c r="D947" s="12">
        <v>43955</v>
      </c>
      <c r="E947" s="12">
        <v>43955</v>
      </c>
      <c r="F947" s="13">
        <v>29306033.280000001</v>
      </c>
      <c r="G947" s="14">
        <v>0</v>
      </c>
      <c r="H947" s="9" t="s">
        <v>603</v>
      </c>
      <c r="I947" s="15">
        <v>80736955</v>
      </c>
      <c r="J947" s="16" t="s">
        <v>1648</v>
      </c>
      <c r="K947" s="17">
        <v>1656</v>
      </c>
      <c r="L947" s="18" t="s">
        <v>36</v>
      </c>
      <c r="M947" s="19">
        <v>17696.88</v>
      </c>
      <c r="N947" s="19">
        <v>0</v>
      </c>
      <c r="O947" s="19">
        <f t="shared" si="62"/>
        <v>29306033.280000001</v>
      </c>
      <c r="P947" s="17" t="s">
        <v>37</v>
      </c>
    </row>
    <row r="948" spans="1:16" x14ac:dyDescent="0.3">
      <c r="A948" s="9" t="s">
        <v>1629</v>
      </c>
      <c r="B948" s="10" t="s">
        <v>1649</v>
      </c>
      <c r="C948" s="11" t="s">
        <v>1650</v>
      </c>
      <c r="D948" s="12">
        <v>43958</v>
      </c>
      <c r="E948" s="12">
        <v>43958</v>
      </c>
      <c r="F948" s="13">
        <v>5095000</v>
      </c>
      <c r="G948" s="14">
        <v>0</v>
      </c>
      <c r="H948" s="9" t="s">
        <v>603</v>
      </c>
      <c r="I948" s="15">
        <v>80736955</v>
      </c>
      <c r="J948" s="16" t="s">
        <v>1651</v>
      </c>
      <c r="K948" s="17">
        <v>5000</v>
      </c>
      <c r="L948" s="18" t="s">
        <v>21</v>
      </c>
      <c r="M948" s="19">
        <v>989</v>
      </c>
      <c r="N948" s="19">
        <v>0</v>
      </c>
      <c r="O948" s="19">
        <f t="shared" si="62"/>
        <v>4945000</v>
      </c>
      <c r="P948" s="17" t="s">
        <v>31</v>
      </c>
    </row>
    <row r="949" spans="1:16" x14ac:dyDescent="0.3">
      <c r="A949" s="9" t="s">
        <v>1629</v>
      </c>
      <c r="B949" s="10" t="s">
        <v>1652</v>
      </c>
      <c r="C949" s="11" t="s">
        <v>1653</v>
      </c>
      <c r="D949" s="12">
        <v>43965</v>
      </c>
      <c r="E949" s="12">
        <v>43965</v>
      </c>
      <c r="F949" s="13">
        <v>71093750</v>
      </c>
      <c r="G949" s="14">
        <v>0</v>
      </c>
      <c r="H949" s="9" t="s">
        <v>48</v>
      </c>
      <c r="I949" s="15">
        <v>901243179</v>
      </c>
      <c r="J949" s="16" t="s">
        <v>1654</v>
      </c>
      <c r="K949" s="17">
        <v>75000</v>
      </c>
      <c r="L949" s="18" t="s">
        <v>21</v>
      </c>
      <c r="M949" s="19">
        <v>937.5</v>
      </c>
      <c r="N949" s="19">
        <v>0</v>
      </c>
      <c r="O949" s="19">
        <f t="shared" si="62"/>
        <v>70312500</v>
      </c>
      <c r="P949" s="17" t="s">
        <v>31</v>
      </c>
    </row>
    <row r="950" spans="1:16" x14ac:dyDescent="0.3">
      <c r="A950" s="9" t="s">
        <v>1629</v>
      </c>
      <c r="B950" s="10" t="s">
        <v>1655</v>
      </c>
      <c r="C950" s="11" t="s">
        <v>1656</v>
      </c>
      <c r="D950" s="12">
        <v>43965</v>
      </c>
      <c r="E950" s="12">
        <v>43965</v>
      </c>
      <c r="F950" s="13">
        <v>11910547.07</v>
      </c>
      <c r="G950" s="14">
        <v>0</v>
      </c>
      <c r="H950" s="9" t="s">
        <v>359</v>
      </c>
      <c r="I950" s="15">
        <v>90070405</v>
      </c>
      <c r="J950" s="16" t="s">
        <v>1657</v>
      </c>
      <c r="K950" s="17">
        <v>2316</v>
      </c>
      <c r="L950" s="18" t="s">
        <v>36</v>
      </c>
      <c r="M950" s="19">
        <v>2588.2824999999998</v>
      </c>
      <c r="N950" s="19">
        <v>0</v>
      </c>
      <c r="O950" s="19">
        <f t="shared" si="62"/>
        <v>5994462.2699999996</v>
      </c>
      <c r="P950" s="17" t="s">
        <v>875</v>
      </c>
    </row>
    <row r="951" spans="1:16" x14ac:dyDescent="0.3">
      <c r="A951" s="9" t="s">
        <v>1629</v>
      </c>
      <c r="B951" s="10" t="s">
        <v>1658</v>
      </c>
      <c r="C951" s="11" t="s">
        <v>1659</v>
      </c>
      <c r="D951" s="12">
        <v>43965</v>
      </c>
      <c r="E951" s="12">
        <v>43965</v>
      </c>
      <c r="F951" s="13">
        <v>3784376</v>
      </c>
      <c r="G951" s="14">
        <v>0</v>
      </c>
      <c r="H951" s="9" t="s">
        <v>356</v>
      </c>
      <c r="I951" s="15">
        <v>900300970</v>
      </c>
      <c r="J951" s="16" t="s">
        <v>1660</v>
      </c>
      <c r="K951" s="17">
        <v>200</v>
      </c>
      <c r="L951" s="18" t="s">
        <v>36</v>
      </c>
      <c r="M951" s="19">
        <v>18921.88</v>
      </c>
      <c r="N951" s="19">
        <v>0</v>
      </c>
      <c r="O951" s="19">
        <f t="shared" si="62"/>
        <v>3784376</v>
      </c>
      <c r="P951" s="17" t="s">
        <v>37</v>
      </c>
    </row>
    <row r="952" spans="1:16" x14ac:dyDescent="0.3">
      <c r="A952" s="9" t="s">
        <v>1629</v>
      </c>
      <c r="B952" s="10" t="s">
        <v>1661</v>
      </c>
      <c r="C952" s="11" t="s">
        <v>1662</v>
      </c>
      <c r="D952" s="12">
        <v>43965</v>
      </c>
      <c r="E952" s="12">
        <v>43965</v>
      </c>
      <c r="F952" s="13">
        <v>10113019.77</v>
      </c>
      <c r="G952" s="14">
        <v>0</v>
      </c>
      <c r="H952" s="9" t="s">
        <v>1663</v>
      </c>
      <c r="I952" s="15">
        <v>900791672</v>
      </c>
      <c r="J952" s="16" t="s">
        <v>1664</v>
      </c>
      <c r="K952" s="17">
        <v>1276</v>
      </c>
      <c r="L952" s="29" t="s">
        <v>36</v>
      </c>
      <c r="M952" s="19">
        <v>5598.9575000000004</v>
      </c>
      <c r="N952" s="19">
        <v>0</v>
      </c>
      <c r="O952" s="19">
        <f t="shared" si="62"/>
        <v>7144269.7700000005</v>
      </c>
      <c r="P952" s="21" t="s">
        <v>39</v>
      </c>
    </row>
    <row r="953" spans="1:16" x14ac:dyDescent="0.3">
      <c r="A953" s="9" t="s">
        <v>1629</v>
      </c>
      <c r="B953" s="10" t="s">
        <v>2117</v>
      </c>
      <c r="C953" s="11" t="s">
        <v>1665</v>
      </c>
      <c r="D953" s="12">
        <v>43969</v>
      </c>
      <c r="E953" s="12">
        <v>43971</v>
      </c>
      <c r="F953" s="13">
        <v>20065000</v>
      </c>
      <c r="G953" s="14">
        <v>0</v>
      </c>
      <c r="H953" s="9" t="s">
        <v>1946</v>
      </c>
      <c r="I953" s="15">
        <v>77188846</v>
      </c>
      <c r="J953" s="16" t="s">
        <v>1666</v>
      </c>
      <c r="K953" s="17">
        <v>50</v>
      </c>
      <c r="L953" s="29" t="s">
        <v>21</v>
      </c>
      <c r="M953" s="19">
        <v>350000</v>
      </c>
      <c r="N953" s="19">
        <v>0</v>
      </c>
      <c r="O953" s="19">
        <f t="shared" ref="O953:O1002" si="66">K953*(M953+N953)</f>
        <v>17500000</v>
      </c>
      <c r="P953" s="17" t="s">
        <v>185</v>
      </c>
    </row>
    <row r="954" spans="1:16" x14ac:dyDescent="0.3">
      <c r="A954" s="9" t="s">
        <v>1629</v>
      </c>
      <c r="B954" s="10" t="s">
        <v>2117</v>
      </c>
      <c r="C954" s="11" t="s">
        <v>1665</v>
      </c>
      <c r="D954" s="12">
        <v>43969</v>
      </c>
      <c r="E954" s="12">
        <v>43971</v>
      </c>
      <c r="F954" s="13">
        <v>20065000</v>
      </c>
      <c r="G954" s="14">
        <v>0</v>
      </c>
      <c r="H954" s="9" t="s">
        <v>1946</v>
      </c>
      <c r="I954" s="15">
        <v>77188846</v>
      </c>
      <c r="J954" s="16" t="s">
        <v>1667</v>
      </c>
      <c r="K954" s="17">
        <v>57</v>
      </c>
      <c r="L954" s="18" t="s">
        <v>1668</v>
      </c>
      <c r="M954" s="19">
        <v>45000</v>
      </c>
      <c r="N954" s="19">
        <v>0</v>
      </c>
      <c r="O954" s="19">
        <f t="shared" si="66"/>
        <v>2565000</v>
      </c>
      <c r="P954" s="21" t="s">
        <v>257</v>
      </c>
    </row>
    <row r="955" spans="1:16" x14ac:dyDescent="0.3">
      <c r="A955" s="9" t="s">
        <v>1629</v>
      </c>
      <c r="B955" s="10" t="s">
        <v>1669</v>
      </c>
      <c r="C955" s="11" t="s">
        <v>1670</v>
      </c>
      <c r="D955" s="12">
        <v>43994</v>
      </c>
      <c r="E955" s="12">
        <v>43994</v>
      </c>
      <c r="F955" s="13">
        <v>5053127.3099999996</v>
      </c>
      <c r="G955" s="14">
        <v>0</v>
      </c>
      <c r="H955" s="9" t="s">
        <v>1671</v>
      </c>
      <c r="I955" s="15">
        <v>890307682</v>
      </c>
      <c r="J955" s="16" t="s">
        <v>1672</v>
      </c>
      <c r="K955" s="17">
        <v>693</v>
      </c>
      <c r="L955" s="18" t="s">
        <v>21</v>
      </c>
      <c r="M955" s="19">
        <v>7291.67</v>
      </c>
      <c r="N955" s="19">
        <v>0</v>
      </c>
      <c r="O955" s="19">
        <f t="shared" si="66"/>
        <v>5053127.3099999996</v>
      </c>
      <c r="P955" s="17" t="s">
        <v>75</v>
      </c>
    </row>
    <row r="956" spans="1:16" x14ac:dyDescent="0.3">
      <c r="A956" s="9" t="s">
        <v>1629</v>
      </c>
      <c r="B956" s="10" t="s">
        <v>2118</v>
      </c>
      <c r="C956" s="11" t="s">
        <v>1673</v>
      </c>
      <c r="D956" s="12">
        <v>44000</v>
      </c>
      <c r="E956" s="12">
        <v>44006</v>
      </c>
      <c r="F956" s="13">
        <v>69638644</v>
      </c>
      <c r="G956" s="14">
        <v>0</v>
      </c>
      <c r="H956" s="9" t="s">
        <v>1674</v>
      </c>
      <c r="I956" s="15">
        <v>80014829</v>
      </c>
      <c r="J956" s="16" t="s">
        <v>1675</v>
      </c>
      <c r="K956" s="17">
        <v>15</v>
      </c>
      <c r="L956" s="18" t="s">
        <v>44</v>
      </c>
      <c r="M956" s="19">
        <v>1547525.4</v>
      </c>
      <c r="N956" s="19">
        <v>0</v>
      </c>
      <c r="O956" s="19">
        <f>K956*(M956+N956)*3</f>
        <v>69638643</v>
      </c>
      <c r="P956" s="21" t="s">
        <v>45</v>
      </c>
    </row>
    <row r="957" spans="1:16" x14ac:dyDescent="0.3">
      <c r="A957" s="9" t="s">
        <v>1629</v>
      </c>
      <c r="B957" s="10" t="s">
        <v>1676</v>
      </c>
      <c r="C957" s="11" t="s">
        <v>1677</v>
      </c>
      <c r="D957" s="12">
        <v>44014</v>
      </c>
      <c r="E957" s="12">
        <v>44014</v>
      </c>
      <c r="F957" s="13">
        <v>4436960</v>
      </c>
      <c r="G957" s="14">
        <v>0</v>
      </c>
      <c r="H957" s="9" t="s">
        <v>350</v>
      </c>
      <c r="I957" s="15">
        <v>900155107</v>
      </c>
      <c r="J957" s="16" t="s">
        <v>1678</v>
      </c>
      <c r="K957" s="17">
        <v>80</v>
      </c>
      <c r="L957" s="18" t="s">
        <v>21</v>
      </c>
      <c r="M957" s="19">
        <v>55462</v>
      </c>
      <c r="N957" s="19">
        <v>0</v>
      </c>
      <c r="O957" s="19">
        <f t="shared" si="66"/>
        <v>4436960</v>
      </c>
      <c r="P957" s="17" t="s">
        <v>98</v>
      </c>
    </row>
    <row r="958" spans="1:16" x14ac:dyDescent="0.3">
      <c r="A958" s="9" t="s">
        <v>1629</v>
      </c>
      <c r="B958" s="10" t="s">
        <v>1679</v>
      </c>
      <c r="C958" s="11" t="s">
        <v>1680</v>
      </c>
      <c r="D958" s="12">
        <v>44018</v>
      </c>
      <c r="E958" s="12">
        <v>44018</v>
      </c>
      <c r="F958" s="13">
        <v>24633605</v>
      </c>
      <c r="G958" s="14">
        <v>0</v>
      </c>
      <c r="H958" s="9" t="s">
        <v>1681</v>
      </c>
      <c r="I958" s="15">
        <v>890900943</v>
      </c>
      <c r="J958" s="16" t="s">
        <v>1682</v>
      </c>
      <c r="K958" s="17">
        <v>95</v>
      </c>
      <c r="L958" s="18" t="s">
        <v>21</v>
      </c>
      <c r="M958" s="19">
        <v>252339</v>
      </c>
      <c r="N958" s="19">
        <v>0</v>
      </c>
      <c r="O958" s="19">
        <f t="shared" si="66"/>
        <v>23972205</v>
      </c>
      <c r="P958" s="17" t="s">
        <v>82</v>
      </c>
    </row>
    <row r="959" spans="1:16" x14ac:dyDescent="0.3">
      <c r="A959" s="9" t="s">
        <v>1629</v>
      </c>
      <c r="B959" s="10" t="s">
        <v>1679</v>
      </c>
      <c r="C959" s="11" t="s">
        <v>1680</v>
      </c>
      <c r="D959" s="12">
        <v>44018</v>
      </c>
      <c r="E959" s="12">
        <v>44018</v>
      </c>
      <c r="F959" s="13">
        <v>24633605</v>
      </c>
      <c r="G959" s="14">
        <v>0</v>
      </c>
      <c r="H959" s="9" t="s">
        <v>1681</v>
      </c>
      <c r="I959" s="15">
        <v>890900943</v>
      </c>
      <c r="J959" s="16" t="s">
        <v>1939</v>
      </c>
      <c r="K959" s="17">
        <v>100</v>
      </c>
      <c r="L959" s="18" t="s">
        <v>21</v>
      </c>
      <c r="M959" s="19">
        <v>6614</v>
      </c>
      <c r="N959" s="19">
        <v>0</v>
      </c>
      <c r="O959" s="19">
        <f t="shared" si="66"/>
        <v>661400</v>
      </c>
      <c r="P959" s="17" t="s">
        <v>869</v>
      </c>
    </row>
    <row r="960" spans="1:16" x14ac:dyDescent="0.3">
      <c r="A960" s="9" t="s">
        <v>1629</v>
      </c>
      <c r="B960" s="10" t="s">
        <v>2119</v>
      </c>
      <c r="C960" s="11" t="s">
        <v>1831</v>
      </c>
      <c r="D960" s="12">
        <v>44048</v>
      </c>
      <c r="E960" s="12">
        <v>44048</v>
      </c>
      <c r="F960" s="13">
        <v>3648961.09</v>
      </c>
      <c r="G960" s="14">
        <v>0</v>
      </c>
      <c r="H960" s="9" t="s">
        <v>535</v>
      </c>
      <c r="I960" s="15">
        <v>811008383</v>
      </c>
      <c r="J960" s="16" t="s">
        <v>1279</v>
      </c>
      <c r="K960" s="17">
        <f>202*3.75</f>
        <v>757.5</v>
      </c>
      <c r="L960" s="18" t="s">
        <v>36</v>
      </c>
      <c r="M960" s="19">
        <f>14479.17/3.75</f>
        <v>3861.1120000000001</v>
      </c>
      <c r="N960" s="19">
        <v>0</v>
      </c>
      <c r="O960" s="19">
        <f t="shared" si="66"/>
        <v>2924792.34</v>
      </c>
      <c r="P960" s="17" t="s">
        <v>161</v>
      </c>
    </row>
    <row r="961" spans="1:16" x14ac:dyDescent="0.3">
      <c r="A961" s="9" t="s">
        <v>1629</v>
      </c>
      <c r="B961" s="10" t="s">
        <v>2120</v>
      </c>
      <c r="C961" s="11" t="s">
        <v>1832</v>
      </c>
      <c r="D961" s="12">
        <v>44049</v>
      </c>
      <c r="E961" s="12">
        <v>44049</v>
      </c>
      <c r="F961" s="13">
        <v>10895833.33</v>
      </c>
      <c r="G961" s="14">
        <v>0</v>
      </c>
      <c r="H961" s="9" t="s">
        <v>1261</v>
      </c>
      <c r="I961" s="15">
        <v>900567130</v>
      </c>
      <c r="J961" s="16" t="s">
        <v>1683</v>
      </c>
      <c r="K961" s="17">
        <v>137</v>
      </c>
      <c r="L961" s="18" t="s">
        <v>70</v>
      </c>
      <c r="M961" s="19">
        <v>46875</v>
      </c>
      <c r="N961" s="19">
        <v>0</v>
      </c>
      <c r="O961" s="19">
        <f t="shared" si="66"/>
        <v>6421875</v>
      </c>
      <c r="P961" s="17" t="s">
        <v>69</v>
      </c>
    </row>
    <row r="962" spans="1:16" x14ac:dyDescent="0.3">
      <c r="A962" s="9" t="s">
        <v>1629</v>
      </c>
      <c r="B962" s="10" t="s">
        <v>2120</v>
      </c>
      <c r="C962" s="11" t="s">
        <v>1832</v>
      </c>
      <c r="D962" s="12">
        <v>44049</v>
      </c>
      <c r="E962" s="12">
        <v>44049</v>
      </c>
      <c r="F962" s="13">
        <v>10895833.33</v>
      </c>
      <c r="G962" s="14">
        <v>0</v>
      </c>
      <c r="H962" s="9" t="s">
        <v>1261</v>
      </c>
      <c r="I962" s="15">
        <v>900567130</v>
      </c>
      <c r="J962" s="16" t="s">
        <v>1683</v>
      </c>
      <c r="K962" s="17">
        <v>91</v>
      </c>
      <c r="L962" s="18" t="s">
        <v>70</v>
      </c>
      <c r="M962" s="19">
        <v>46875</v>
      </c>
      <c r="N962" s="19">
        <v>0</v>
      </c>
      <c r="O962" s="19">
        <f t="shared" si="66"/>
        <v>4265625</v>
      </c>
      <c r="P962" s="17" t="s">
        <v>69</v>
      </c>
    </row>
    <row r="963" spans="1:16" x14ac:dyDescent="0.3">
      <c r="A963" s="9" t="s">
        <v>1629</v>
      </c>
      <c r="B963" s="10" t="s">
        <v>2121</v>
      </c>
      <c r="C963" s="11" t="s">
        <v>1833</v>
      </c>
      <c r="D963" s="12">
        <v>44152</v>
      </c>
      <c r="E963" s="12">
        <v>44152</v>
      </c>
      <c r="F963" s="13">
        <v>923842.3</v>
      </c>
      <c r="G963" s="14">
        <v>0</v>
      </c>
      <c r="H963" s="9" t="s">
        <v>1947</v>
      </c>
      <c r="I963" s="15">
        <v>80736955</v>
      </c>
      <c r="J963" s="16" t="s">
        <v>1684</v>
      </c>
      <c r="K963" s="17">
        <v>870</v>
      </c>
      <c r="L963" s="18" t="s">
        <v>21</v>
      </c>
      <c r="M963" s="19">
        <v>882.29</v>
      </c>
      <c r="N963" s="19">
        <v>0</v>
      </c>
      <c r="O963" s="19">
        <f t="shared" si="66"/>
        <v>767592.29999999993</v>
      </c>
      <c r="P963" s="17" t="s">
        <v>31</v>
      </c>
    </row>
    <row r="964" spans="1:16" x14ac:dyDescent="0.3">
      <c r="A964" s="9" t="s">
        <v>1629</v>
      </c>
      <c r="B964" s="10" t="s">
        <v>2122</v>
      </c>
      <c r="C964" s="11" t="s">
        <v>1834</v>
      </c>
      <c r="D964" s="12">
        <v>44152</v>
      </c>
      <c r="E964" s="12">
        <v>44152</v>
      </c>
      <c r="F964" s="13">
        <v>998000</v>
      </c>
      <c r="G964" s="14">
        <v>0</v>
      </c>
      <c r="H964" s="9" t="s">
        <v>1685</v>
      </c>
      <c r="I964" s="15">
        <v>830051855</v>
      </c>
      <c r="J964" s="16" t="s">
        <v>69</v>
      </c>
      <c r="K964" s="17">
        <v>20</v>
      </c>
      <c r="L964" s="18" t="s">
        <v>70</v>
      </c>
      <c r="M964" s="19">
        <v>40900</v>
      </c>
      <c r="N964" s="19">
        <v>0</v>
      </c>
      <c r="O964" s="19">
        <f t="shared" si="66"/>
        <v>818000</v>
      </c>
      <c r="P964" s="17" t="s">
        <v>69</v>
      </c>
    </row>
    <row r="965" spans="1:16" x14ac:dyDescent="0.3">
      <c r="A965" s="9" t="s">
        <v>1629</v>
      </c>
      <c r="B965" s="10" t="s">
        <v>2123</v>
      </c>
      <c r="C965" s="11" t="s">
        <v>1835</v>
      </c>
      <c r="D965" s="12">
        <v>44152</v>
      </c>
      <c r="E965" s="12">
        <v>44152</v>
      </c>
      <c r="F965" s="13">
        <v>8140000</v>
      </c>
      <c r="G965" s="14">
        <v>0</v>
      </c>
      <c r="H965" s="9" t="s">
        <v>1686</v>
      </c>
      <c r="I965" s="15">
        <v>830025916</v>
      </c>
      <c r="J965" s="16" t="s">
        <v>49</v>
      </c>
      <c r="K965" s="17">
        <v>700</v>
      </c>
      <c r="L965" s="18" t="s">
        <v>21</v>
      </c>
      <c r="M965" s="19">
        <v>10300</v>
      </c>
      <c r="N965" s="19">
        <v>0</v>
      </c>
      <c r="O965" s="19">
        <f t="shared" si="66"/>
        <v>7210000</v>
      </c>
      <c r="P965" s="17" t="s">
        <v>31</v>
      </c>
    </row>
    <row r="966" spans="1:16" x14ac:dyDescent="0.3">
      <c r="A966" s="9" t="s">
        <v>1629</v>
      </c>
      <c r="B966" s="10" t="s">
        <v>2124</v>
      </c>
      <c r="C966" s="11" t="s">
        <v>1836</v>
      </c>
      <c r="D966" s="12">
        <v>44152</v>
      </c>
      <c r="E966" s="12">
        <v>44152</v>
      </c>
      <c r="F966" s="13">
        <v>7562502</v>
      </c>
      <c r="G966" s="14">
        <v>0</v>
      </c>
      <c r="H966" s="9" t="s">
        <v>1686</v>
      </c>
      <c r="I966" s="15">
        <v>830025916</v>
      </c>
      <c r="J966" s="16" t="s">
        <v>49</v>
      </c>
      <c r="K966" s="17">
        <v>600</v>
      </c>
      <c r="L966" s="18" t="s">
        <v>21</v>
      </c>
      <c r="M966" s="19">
        <v>10729.17</v>
      </c>
      <c r="N966" s="19">
        <v>0</v>
      </c>
      <c r="O966" s="19">
        <f t="shared" si="66"/>
        <v>6437502</v>
      </c>
      <c r="P966" s="17" t="s">
        <v>31</v>
      </c>
    </row>
    <row r="967" spans="1:16" x14ac:dyDescent="0.3">
      <c r="A967" s="9" t="s">
        <v>1629</v>
      </c>
      <c r="B967" s="10" t="s">
        <v>2125</v>
      </c>
      <c r="C967" s="11" t="s">
        <v>1837</v>
      </c>
      <c r="D967" s="12">
        <v>44152</v>
      </c>
      <c r="E967" s="12">
        <v>44152</v>
      </c>
      <c r="F967" s="13">
        <v>488541.7</v>
      </c>
      <c r="G967" s="14">
        <v>0</v>
      </c>
      <c r="H967" s="9" t="s">
        <v>1685</v>
      </c>
      <c r="I967" s="15">
        <v>830051855</v>
      </c>
      <c r="J967" s="16" t="s">
        <v>69</v>
      </c>
      <c r="K967" s="17">
        <v>10</v>
      </c>
      <c r="L967" s="18" t="s">
        <v>70</v>
      </c>
      <c r="M967" s="19">
        <v>42604.17</v>
      </c>
      <c r="N967" s="19">
        <v>0</v>
      </c>
      <c r="O967" s="19">
        <f t="shared" si="66"/>
        <v>426041.69999999995</v>
      </c>
      <c r="P967" s="17" t="s">
        <v>69</v>
      </c>
    </row>
    <row r="968" spans="1:16" x14ac:dyDescent="0.3">
      <c r="A968" s="9" t="s">
        <v>1629</v>
      </c>
      <c r="B968" s="10" t="s">
        <v>2126</v>
      </c>
      <c r="C968" s="11" t="s">
        <v>1838</v>
      </c>
      <c r="D968" s="12">
        <v>44154</v>
      </c>
      <c r="E968" s="12">
        <v>44154</v>
      </c>
      <c r="F968" s="13">
        <v>1674600</v>
      </c>
      <c r="G968" s="14">
        <v>0</v>
      </c>
      <c r="H968" s="9" t="s">
        <v>1947</v>
      </c>
      <c r="I968" s="15">
        <v>80736955</v>
      </c>
      <c r="J968" s="16" t="s">
        <v>1687</v>
      </c>
      <c r="K968" s="17">
        <v>1800</v>
      </c>
      <c r="L968" s="18" t="s">
        <v>21</v>
      </c>
      <c r="M968" s="19">
        <v>847</v>
      </c>
      <c r="N968" s="19">
        <v>0</v>
      </c>
      <c r="O968" s="19">
        <f t="shared" si="66"/>
        <v>1524600</v>
      </c>
      <c r="P968" s="17" t="s">
        <v>31</v>
      </c>
    </row>
    <row r="969" spans="1:16" x14ac:dyDescent="0.3">
      <c r="A969" s="9" t="s">
        <v>1629</v>
      </c>
      <c r="B969" s="10" t="s">
        <v>2127</v>
      </c>
      <c r="C969" s="11" t="s">
        <v>1839</v>
      </c>
      <c r="D969" s="12">
        <v>44161</v>
      </c>
      <c r="E969" s="12">
        <v>44195</v>
      </c>
      <c r="F969" s="13">
        <v>43385416.270000003</v>
      </c>
      <c r="G969" s="14">
        <v>0</v>
      </c>
      <c r="H969" s="9" t="s">
        <v>376</v>
      </c>
      <c r="I969" s="15">
        <v>900584757</v>
      </c>
      <c r="J969" s="16" t="s">
        <v>1688</v>
      </c>
      <c r="K969" s="17">
        <v>100</v>
      </c>
      <c r="L969" s="18" t="s">
        <v>21</v>
      </c>
      <c r="M969" s="19">
        <f>364583.33/1.19</f>
        <v>306372.54621848743</v>
      </c>
      <c r="N969" s="19">
        <f t="shared" ref="N969:N970" si="67">M969*0.19</f>
        <v>58210.783781512611</v>
      </c>
      <c r="O969" s="19">
        <f t="shared" si="66"/>
        <v>36458333.000000007</v>
      </c>
      <c r="P969" s="17" t="s">
        <v>120</v>
      </c>
    </row>
    <row r="970" spans="1:16" x14ac:dyDescent="0.3">
      <c r="A970" s="9" t="s">
        <v>1629</v>
      </c>
      <c r="B970" s="10" t="s">
        <v>2128</v>
      </c>
      <c r="C970" s="11" t="s">
        <v>1840</v>
      </c>
      <c r="D970" s="12">
        <v>44161</v>
      </c>
      <c r="E970" s="12">
        <v>44195</v>
      </c>
      <c r="F970" s="13">
        <v>81217500</v>
      </c>
      <c r="G970" s="14">
        <v>0</v>
      </c>
      <c r="H970" s="9" t="s">
        <v>376</v>
      </c>
      <c r="I970" s="15">
        <v>900584757</v>
      </c>
      <c r="J970" s="16" t="s">
        <v>1688</v>
      </c>
      <c r="K970" s="17">
        <v>195</v>
      </c>
      <c r="L970" s="18" t="s">
        <v>21</v>
      </c>
      <c r="M970" s="19">
        <f>350000/1.19</f>
        <v>294117.64705882355</v>
      </c>
      <c r="N970" s="19">
        <f t="shared" si="67"/>
        <v>55882.352941176476</v>
      </c>
      <c r="O970" s="19">
        <f t="shared" si="66"/>
        <v>68250000</v>
      </c>
      <c r="P970" s="17" t="s">
        <v>120</v>
      </c>
    </row>
    <row r="971" spans="1:16" x14ac:dyDescent="0.3">
      <c r="A971" s="9" t="s">
        <v>1629</v>
      </c>
      <c r="B971" s="10" t="s">
        <v>2129</v>
      </c>
      <c r="C971" s="11" t="s">
        <v>1841</v>
      </c>
      <c r="D971" s="12">
        <v>44161</v>
      </c>
      <c r="E971" s="12">
        <v>44195</v>
      </c>
      <c r="F971" s="13">
        <v>32463200</v>
      </c>
      <c r="G971" s="14">
        <v>0</v>
      </c>
      <c r="H971" s="9" t="s">
        <v>376</v>
      </c>
      <c r="I971" s="15">
        <v>900584757</v>
      </c>
      <c r="J971" s="16" t="s">
        <v>1940</v>
      </c>
      <c r="K971" s="17">
        <v>110</v>
      </c>
      <c r="L971" s="18" t="s">
        <v>21</v>
      </c>
      <c r="M971" s="19">
        <v>248000</v>
      </c>
      <c r="N971" s="19">
        <f t="shared" ref="N971:N973" si="68">M971*0.19</f>
        <v>47120</v>
      </c>
      <c r="O971" s="19">
        <f t="shared" si="66"/>
        <v>32463200</v>
      </c>
      <c r="P971" s="16" t="s">
        <v>119</v>
      </c>
    </row>
    <row r="972" spans="1:16" x14ac:dyDescent="0.3">
      <c r="A972" s="9" t="s">
        <v>1629</v>
      </c>
      <c r="B972" s="10" t="s">
        <v>2130</v>
      </c>
      <c r="C972" s="11" t="s">
        <v>1842</v>
      </c>
      <c r="D972" s="12">
        <v>44161</v>
      </c>
      <c r="E972" s="12">
        <v>44195</v>
      </c>
      <c r="F972" s="13">
        <v>21826583.050000001</v>
      </c>
      <c r="G972" s="14">
        <v>0</v>
      </c>
      <c r="H972" s="9" t="s">
        <v>376</v>
      </c>
      <c r="I972" s="15">
        <v>900584757</v>
      </c>
      <c r="J972" s="16" t="s">
        <v>1940</v>
      </c>
      <c r="K972" s="17">
        <v>71</v>
      </c>
      <c r="L972" s="18" t="s">
        <v>21</v>
      </c>
      <c r="M972" s="19">
        <v>258333.33</v>
      </c>
      <c r="N972" s="19">
        <f t="shared" si="68"/>
        <v>49083.332699999999</v>
      </c>
      <c r="O972" s="19">
        <f t="shared" si="66"/>
        <v>21826583.0517</v>
      </c>
      <c r="P972" s="16" t="s">
        <v>119</v>
      </c>
    </row>
    <row r="973" spans="1:16" x14ac:dyDescent="0.3">
      <c r="A973" s="9" t="s">
        <v>1629</v>
      </c>
      <c r="B973" s="10" t="s">
        <v>2131</v>
      </c>
      <c r="C973" s="11" t="s">
        <v>1843</v>
      </c>
      <c r="D973" s="12">
        <v>44178</v>
      </c>
      <c r="E973" s="12">
        <v>44193</v>
      </c>
      <c r="F973" s="13">
        <v>16860000</v>
      </c>
      <c r="G973" s="14">
        <v>0</v>
      </c>
      <c r="H973" s="9" t="s">
        <v>1462</v>
      </c>
      <c r="I973" s="15">
        <v>19254921</v>
      </c>
      <c r="J973" s="16" t="s">
        <v>1689</v>
      </c>
      <c r="K973" s="17">
        <v>2000</v>
      </c>
      <c r="L973" s="29" t="s">
        <v>2135</v>
      </c>
      <c r="M973" s="19">
        <v>2500</v>
      </c>
      <c r="N973" s="19">
        <f t="shared" si="68"/>
        <v>475</v>
      </c>
      <c r="O973" s="19">
        <f t="shared" si="66"/>
        <v>5950000</v>
      </c>
      <c r="P973" s="21" t="s">
        <v>656</v>
      </c>
    </row>
    <row r="974" spans="1:16" x14ac:dyDescent="0.3">
      <c r="A974" s="9" t="s">
        <v>1629</v>
      </c>
      <c r="B974" s="10" t="s">
        <v>2131</v>
      </c>
      <c r="C974" s="11" t="s">
        <v>1843</v>
      </c>
      <c r="D974" s="12">
        <v>44178</v>
      </c>
      <c r="E974" s="12">
        <v>44193</v>
      </c>
      <c r="F974" s="13">
        <v>16860000</v>
      </c>
      <c r="G974" s="14">
        <v>0</v>
      </c>
      <c r="H974" s="9" t="s">
        <v>1462</v>
      </c>
      <c r="I974" s="15">
        <v>19254921</v>
      </c>
      <c r="J974" s="16" t="s">
        <v>1690</v>
      </c>
      <c r="K974" s="17">
        <v>2000</v>
      </c>
      <c r="L974" s="18" t="s">
        <v>36</v>
      </c>
      <c r="M974" s="19">
        <v>4455</v>
      </c>
      <c r="N974" s="19">
        <v>0</v>
      </c>
      <c r="O974" s="19">
        <f t="shared" si="66"/>
        <v>8910000</v>
      </c>
      <c r="P974" s="17" t="s">
        <v>37</v>
      </c>
    </row>
    <row r="975" spans="1:16" x14ac:dyDescent="0.3">
      <c r="A975" s="9" t="s">
        <v>1629</v>
      </c>
      <c r="B975" s="10" t="s">
        <v>2132</v>
      </c>
      <c r="C975" s="11" t="s">
        <v>1844</v>
      </c>
      <c r="D975" s="12">
        <v>44178</v>
      </c>
      <c r="E975" s="12">
        <v>44193</v>
      </c>
      <c r="F975" s="13">
        <v>1979316</v>
      </c>
      <c r="G975" s="14">
        <v>0</v>
      </c>
      <c r="H975" s="9" t="s">
        <v>60</v>
      </c>
      <c r="I975" s="15">
        <v>830001338</v>
      </c>
      <c r="J975" s="16" t="s">
        <v>1273</v>
      </c>
      <c r="K975" s="17">
        <v>92</v>
      </c>
      <c r="L975" s="18" t="s">
        <v>36</v>
      </c>
      <c r="M975" s="19">
        <v>3625</v>
      </c>
      <c r="N975" s="19">
        <v>0</v>
      </c>
      <c r="O975" s="19">
        <f t="shared" si="66"/>
        <v>333500</v>
      </c>
      <c r="P975" s="17" t="s">
        <v>161</v>
      </c>
    </row>
    <row r="976" spans="1:16" x14ac:dyDescent="0.3">
      <c r="A976" s="9" t="s">
        <v>1629</v>
      </c>
      <c r="B976" s="10" t="s">
        <v>2132</v>
      </c>
      <c r="C976" s="11" t="s">
        <v>1844</v>
      </c>
      <c r="D976" s="12">
        <v>44178</v>
      </c>
      <c r="E976" s="12">
        <v>44193</v>
      </c>
      <c r="F976" s="13">
        <v>1979316</v>
      </c>
      <c r="G976" s="14">
        <v>0</v>
      </c>
      <c r="H976" s="9" t="s">
        <v>60</v>
      </c>
      <c r="I976" s="15">
        <v>830001338</v>
      </c>
      <c r="J976" s="16" t="s">
        <v>1279</v>
      </c>
      <c r="K976" s="17">
        <f>92*3.75</f>
        <v>345</v>
      </c>
      <c r="L976" s="18" t="s">
        <v>36</v>
      </c>
      <c r="M976" s="19">
        <f>12998/3.75</f>
        <v>3466.1333333333332</v>
      </c>
      <c r="N976" s="19">
        <v>0</v>
      </c>
      <c r="O976" s="19">
        <f t="shared" si="66"/>
        <v>1195816</v>
      </c>
      <c r="P976" s="17" t="s">
        <v>161</v>
      </c>
    </row>
    <row r="977" spans="1:16" x14ac:dyDescent="0.3">
      <c r="A977" s="9" t="s">
        <v>1629</v>
      </c>
      <c r="B977" s="10" t="s">
        <v>2133</v>
      </c>
      <c r="C977" s="11" t="s">
        <v>1845</v>
      </c>
      <c r="D977" s="12">
        <v>44178</v>
      </c>
      <c r="E977" s="12">
        <v>44193</v>
      </c>
      <c r="F977" s="13">
        <v>11779699.449999999</v>
      </c>
      <c r="G977" s="14">
        <v>0</v>
      </c>
      <c r="H977" s="9" t="s">
        <v>1462</v>
      </c>
      <c r="I977" s="15">
        <v>19254921</v>
      </c>
      <c r="J977" s="16" t="s">
        <v>1272</v>
      </c>
      <c r="K977" s="17">
        <v>1200</v>
      </c>
      <c r="L977" s="18" t="s">
        <v>36</v>
      </c>
      <c r="M977" s="19">
        <v>4640.63</v>
      </c>
      <c r="N977" s="19">
        <v>0</v>
      </c>
      <c r="O977" s="19">
        <f t="shared" si="66"/>
        <v>5568756</v>
      </c>
      <c r="P977" s="17" t="s">
        <v>37</v>
      </c>
    </row>
    <row r="978" spans="1:16" x14ac:dyDescent="0.3">
      <c r="A978" s="9" t="s">
        <v>1629</v>
      </c>
      <c r="B978" s="10" t="s">
        <v>2133</v>
      </c>
      <c r="C978" s="11" t="s">
        <v>1845</v>
      </c>
      <c r="D978" s="12">
        <v>44178</v>
      </c>
      <c r="E978" s="12">
        <v>44193</v>
      </c>
      <c r="F978" s="13">
        <v>11779699.449999999</v>
      </c>
      <c r="G978" s="14">
        <v>0</v>
      </c>
      <c r="H978" s="9" t="s">
        <v>1462</v>
      </c>
      <c r="I978" s="15">
        <v>19254921</v>
      </c>
      <c r="J978" s="16" t="s">
        <v>1691</v>
      </c>
      <c r="K978" s="17">
        <v>1500</v>
      </c>
      <c r="L978" s="29" t="s">
        <v>2135</v>
      </c>
      <c r="M978" s="19">
        <v>2604.17</v>
      </c>
      <c r="N978" s="19">
        <f t="shared" ref="N978" si="69">M978*0.19</f>
        <v>494.79230000000001</v>
      </c>
      <c r="O978" s="19">
        <f t="shared" si="66"/>
        <v>4648443.45</v>
      </c>
      <c r="P978" s="21" t="s">
        <v>656</v>
      </c>
    </row>
    <row r="979" spans="1:16" x14ac:dyDescent="0.3">
      <c r="A979" s="9" t="s">
        <v>1629</v>
      </c>
      <c r="B979" s="10" t="s">
        <v>2134</v>
      </c>
      <c r="C979" s="11" t="s">
        <v>1846</v>
      </c>
      <c r="D979" s="12">
        <v>44178</v>
      </c>
      <c r="E979" s="12">
        <v>44193</v>
      </c>
      <c r="F979" s="13">
        <v>1706603.81</v>
      </c>
      <c r="G979" s="14">
        <v>0</v>
      </c>
      <c r="H979" s="9" t="s">
        <v>60</v>
      </c>
      <c r="I979" s="15">
        <v>830001338</v>
      </c>
      <c r="J979" s="16" t="s">
        <v>1273</v>
      </c>
      <c r="K979" s="17">
        <v>52</v>
      </c>
      <c r="L979" s="18" t="s">
        <v>36</v>
      </c>
      <c r="M979" s="19">
        <v>3776.04</v>
      </c>
      <c r="N979" s="19">
        <v>0</v>
      </c>
      <c r="O979" s="19">
        <f t="shared" si="66"/>
        <v>196354.08</v>
      </c>
      <c r="P979" s="17" t="s">
        <v>161</v>
      </c>
    </row>
    <row r="980" spans="1:16" x14ac:dyDescent="0.3">
      <c r="A980" s="9" t="s">
        <v>1629</v>
      </c>
      <c r="B980" s="10" t="s">
        <v>2134</v>
      </c>
      <c r="C980" s="11" t="s">
        <v>1846</v>
      </c>
      <c r="D980" s="12">
        <v>44178</v>
      </c>
      <c r="E980" s="12">
        <v>44193</v>
      </c>
      <c r="F980" s="13">
        <v>1706603.81</v>
      </c>
      <c r="G980" s="14">
        <v>0</v>
      </c>
      <c r="H980" s="9" t="s">
        <v>60</v>
      </c>
      <c r="I980" s="15">
        <v>830001338</v>
      </c>
      <c r="J980" s="16" t="s">
        <v>1279</v>
      </c>
      <c r="K980" s="17">
        <f>80*3.75</f>
        <v>300</v>
      </c>
      <c r="L980" s="18" t="s">
        <v>36</v>
      </c>
      <c r="M980" s="19">
        <f>13539.58/3.75</f>
        <v>3610.5546666666664</v>
      </c>
      <c r="N980" s="19">
        <v>0</v>
      </c>
      <c r="O980" s="19">
        <f t="shared" si="66"/>
        <v>1083166.3999999999</v>
      </c>
      <c r="P980" s="17" t="s">
        <v>161</v>
      </c>
    </row>
    <row r="981" spans="1:16" x14ac:dyDescent="0.3">
      <c r="A981" s="9" t="s">
        <v>1692</v>
      </c>
      <c r="B981" s="10" t="s">
        <v>1693</v>
      </c>
      <c r="C981" s="11" t="s">
        <v>1694</v>
      </c>
      <c r="D981" s="12">
        <v>43914</v>
      </c>
      <c r="E981" s="12">
        <v>43914</v>
      </c>
      <c r="F981" s="13">
        <v>6674000</v>
      </c>
      <c r="G981" s="14">
        <v>0</v>
      </c>
      <c r="H981" s="9" t="s">
        <v>1695</v>
      </c>
      <c r="I981" s="15">
        <v>901244133</v>
      </c>
      <c r="J981" s="16" t="s">
        <v>1696</v>
      </c>
      <c r="K981" s="17">
        <v>220</v>
      </c>
      <c r="L981" s="18" t="s">
        <v>36</v>
      </c>
      <c r="M981" s="19">
        <v>25126.050420168067</v>
      </c>
      <c r="N981" s="19">
        <f t="shared" ref="N981:N984" si="70">M981*0.19</f>
        <v>4773.9495798319331</v>
      </c>
      <c r="O981" s="19">
        <f t="shared" si="66"/>
        <v>6578000</v>
      </c>
      <c r="P981" s="17" t="s">
        <v>37</v>
      </c>
    </row>
    <row r="982" spans="1:16" x14ac:dyDescent="0.3">
      <c r="A982" s="9" t="s">
        <v>1692</v>
      </c>
      <c r="B982" s="10" t="s">
        <v>1693</v>
      </c>
      <c r="C982" s="11" t="s">
        <v>1694</v>
      </c>
      <c r="D982" s="12">
        <v>43914</v>
      </c>
      <c r="E982" s="12">
        <v>43914</v>
      </c>
      <c r="F982" s="13">
        <v>6674000</v>
      </c>
      <c r="G982" s="14">
        <v>0</v>
      </c>
      <c r="H982" s="9" t="s">
        <v>1695</v>
      </c>
      <c r="I982" s="15">
        <v>901244133</v>
      </c>
      <c r="J982" s="16" t="s">
        <v>1697</v>
      </c>
      <c r="K982" s="17">
        <v>80</v>
      </c>
      <c r="L982" s="18" t="s">
        <v>21</v>
      </c>
      <c r="M982" s="19">
        <v>1008.4033613445379</v>
      </c>
      <c r="N982" s="19">
        <f t="shared" si="70"/>
        <v>191.59663865546219</v>
      </c>
      <c r="O982" s="19">
        <f t="shared" si="66"/>
        <v>96000</v>
      </c>
      <c r="P982" s="17" t="s">
        <v>869</v>
      </c>
    </row>
    <row r="983" spans="1:16" x14ac:dyDescent="0.3">
      <c r="A983" s="9" t="s">
        <v>1692</v>
      </c>
      <c r="B983" s="10" t="s">
        <v>1698</v>
      </c>
      <c r="C983" s="11" t="s">
        <v>1699</v>
      </c>
      <c r="D983" s="12">
        <v>43917</v>
      </c>
      <c r="E983" s="12">
        <v>43917</v>
      </c>
      <c r="F983" s="13">
        <v>3918700</v>
      </c>
      <c r="G983" s="14">
        <v>0</v>
      </c>
      <c r="H983" s="9" t="s">
        <v>1700</v>
      </c>
      <c r="I983" s="15">
        <v>900769393</v>
      </c>
      <c r="J983" s="16" t="s">
        <v>1701</v>
      </c>
      <c r="K983" s="17">
        <v>162</v>
      </c>
      <c r="L983" s="18" t="s">
        <v>21</v>
      </c>
      <c r="M983" s="19">
        <v>18151</v>
      </c>
      <c r="N983" s="19">
        <f t="shared" si="70"/>
        <v>3448.69</v>
      </c>
      <c r="O983" s="19">
        <f t="shared" si="66"/>
        <v>3499149.78</v>
      </c>
      <c r="P983" s="17" t="s">
        <v>22</v>
      </c>
    </row>
    <row r="984" spans="1:16" x14ac:dyDescent="0.3">
      <c r="A984" s="9" t="s">
        <v>1692</v>
      </c>
      <c r="B984" s="10" t="s">
        <v>1698</v>
      </c>
      <c r="C984" s="11" t="s">
        <v>1699</v>
      </c>
      <c r="D984" s="12">
        <v>43917</v>
      </c>
      <c r="E984" s="12">
        <v>43917</v>
      </c>
      <c r="F984" s="13">
        <v>3918700</v>
      </c>
      <c r="G984" s="14">
        <v>0</v>
      </c>
      <c r="H984" s="9" t="s">
        <v>1700</v>
      </c>
      <c r="I984" s="15">
        <v>900769393</v>
      </c>
      <c r="J984" s="16" t="s">
        <v>1702</v>
      </c>
      <c r="K984" s="17">
        <v>50</v>
      </c>
      <c r="L984" s="18" t="s">
        <v>21</v>
      </c>
      <c r="M984" s="19">
        <v>7051</v>
      </c>
      <c r="N984" s="19">
        <f t="shared" si="70"/>
        <v>1339.69</v>
      </c>
      <c r="O984" s="19">
        <f t="shared" si="66"/>
        <v>419534.5</v>
      </c>
      <c r="P984" s="17" t="s">
        <v>412</v>
      </c>
    </row>
    <row r="985" spans="1:16" x14ac:dyDescent="0.3">
      <c r="A985" s="9" t="s">
        <v>1692</v>
      </c>
      <c r="B985" s="10" t="s">
        <v>1703</v>
      </c>
      <c r="C985" s="11" t="s">
        <v>1704</v>
      </c>
      <c r="D985" s="12">
        <v>43943</v>
      </c>
      <c r="E985" s="12">
        <v>43943</v>
      </c>
      <c r="F985" s="13">
        <v>3900000</v>
      </c>
      <c r="G985" s="14">
        <v>0</v>
      </c>
      <c r="H985" s="9" t="s">
        <v>1705</v>
      </c>
      <c r="I985" s="15">
        <v>900536323</v>
      </c>
      <c r="J985" s="16" t="s">
        <v>1706</v>
      </c>
      <c r="K985" s="17">
        <v>3000</v>
      </c>
      <c r="L985" s="18" t="s">
        <v>21</v>
      </c>
      <c r="M985" s="19">
        <v>1300</v>
      </c>
      <c r="N985" s="19">
        <v>0</v>
      </c>
      <c r="O985" s="19">
        <f t="shared" si="66"/>
        <v>3900000</v>
      </c>
      <c r="P985" s="17" t="s">
        <v>31</v>
      </c>
    </row>
    <row r="986" spans="1:16" x14ac:dyDescent="0.3">
      <c r="A986" s="9" t="s">
        <v>1692</v>
      </c>
      <c r="B986" s="10" t="s">
        <v>1707</v>
      </c>
      <c r="C986" s="11" t="s">
        <v>1708</v>
      </c>
      <c r="D986" s="12">
        <v>43965</v>
      </c>
      <c r="E986" s="12">
        <v>43965</v>
      </c>
      <c r="F986" s="13">
        <v>6139500</v>
      </c>
      <c r="G986" s="14">
        <v>0</v>
      </c>
      <c r="H986" s="9" t="s">
        <v>356</v>
      </c>
      <c r="I986" s="15">
        <v>900300970</v>
      </c>
      <c r="J986" s="16" t="s">
        <v>1709</v>
      </c>
      <c r="K986" s="17">
        <v>200</v>
      </c>
      <c r="L986" s="18" t="s">
        <v>36</v>
      </c>
      <c r="M986" s="19">
        <v>15525</v>
      </c>
      <c r="N986" s="19">
        <v>0</v>
      </c>
      <c r="O986" s="19">
        <f t="shared" si="66"/>
        <v>3105000</v>
      </c>
      <c r="P986" s="17" t="s">
        <v>37</v>
      </c>
    </row>
    <row r="987" spans="1:16" x14ac:dyDescent="0.3">
      <c r="A987" s="9" t="s">
        <v>1692</v>
      </c>
      <c r="B987" s="10" t="s">
        <v>1707</v>
      </c>
      <c r="C987" s="11" t="s">
        <v>1708</v>
      </c>
      <c r="D987" s="12">
        <v>43965</v>
      </c>
      <c r="E987" s="12">
        <v>43965</v>
      </c>
      <c r="F987" s="13">
        <v>6139500</v>
      </c>
      <c r="G987" s="14">
        <v>0</v>
      </c>
      <c r="H987" s="9" t="s">
        <v>356</v>
      </c>
      <c r="I987" s="15">
        <v>900300970</v>
      </c>
      <c r="J987" s="16" t="s">
        <v>1710</v>
      </c>
      <c r="K987" s="17">
        <v>500</v>
      </c>
      <c r="L987" s="29" t="s">
        <v>2135</v>
      </c>
      <c r="M987" s="19">
        <v>5100</v>
      </c>
      <c r="N987" s="19">
        <f>M987*0.19</f>
        <v>969</v>
      </c>
      <c r="O987" s="19">
        <f t="shared" si="66"/>
        <v>3034500</v>
      </c>
      <c r="P987" s="21" t="s">
        <v>656</v>
      </c>
    </row>
    <row r="988" spans="1:16" x14ac:dyDescent="0.3">
      <c r="A988" s="9" t="s">
        <v>1692</v>
      </c>
      <c r="B988" s="10" t="s">
        <v>1711</v>
      </c>
      <c r="C988" s="11" t="s">
        <v>1708</v>
      </c>
      <c r="D988" s="12">
        <v>43965</v>
      </c>
      <c r="E988" s="12">
        <v>43965</v>
      </c>
      <c r="F988" s="13">
        <v>4000000</v>
      </c>
      <c r="G988" s="14">
        <v>0</v>
      </c>
      <c r="H988" s="9" t="s">
        <v>1712</v>
      </c>
      <c r="I988" s="15">
        <v>900401081</v>
      </c>
      <c r="J988" s="16" t="s">
        <v>1713</v>
      </c>
      <c r="K988" s="17">
        <v>4000</v>
      </c>
      <c r="L988" s="18" t="s">
        <v>21</v>
      </c>
      <c r="M988" s="19">
        <v>1000</v>
      </c>
      <c r="N988" s="19">
        <v>0</v>
      </c>
      <c r="O988" s="19">
        <f t="shared" si="66"/>
        <v>4000000</v>
      </c>
      <c r="P988" s="17" t="s">
        <v>31</v>
      </c>
    </row>
    <row r="989" spans="1:16" x14ac:dyDescent="0.3">
      <c r="A989" s="9" t="s">
        <v>1692</v>
      </c>
      <c r="B989" s="10" t="s">
        <v>1714</v>
      </c>
      <c r="C989" s="11" t="s">
        <v>1715</v>
      </c>
      <c r="D989" s="12">
        <v>43971</v>
      </c>
      <c r="E989" s="12">
        <v>43971</v>
      </c>
      <c r="F989" s="13">
        <v>3036300</v>
      </c>
      <c r="G989" s="14">
        <v>0</v>
      </c>
      <c r="H989" s="9" t="s">
        <v>1716</v>
      </c>
      <c r="I989" s="15">
        <v>900350133</v>
      </c>
      <c r="J989" s="16" t="s">
        <v>1717</v>
      </c>
      <c r="K989" s="17">
        <v>58</v>
      </c>
      <c r="L989" s="18" t="s">
        <v>70</v>
      </c>
      <c r="M989" s="19">
        <v>52350</v>
      </c>
      <c r="N989" s="19">
        <v>0</v>
      </c>
      <c r="O989" s="19">
        <f t="shared" si="66"/>
        <v>3036300</v>
      </c>
      <c r="P989" s="17" t="s">
        <v>69</v>
      </c>
    </row>
    <row r="990" spans="1:16" x14ac:dyDescent="0.3">
      <c r="A990" s="9" t="s">
        <v>1692</v>
      </c>
      <c r="B990" s="10" t="s">
        <v>1718</v>
      </c>
      <c r="C990" s="11" t="s">
        <v>1719</v>
      </c>
      <c r="D990" s="12">
        <v>43971</v>
      </c>
      <c r="E990" s="12">
        <v>43971</v>
      </c>
      <c r="F990" s="13">
        <v>1004360</v>
      </c>
      <c r="G990" s="14">
        <v>0</v>
      </c>
      <c r="H990" s="9" t="s">
        <v>1720</v>
      </c>
      <c r="I990" s="15">
        <v>830037946</v>
      </c>
      <c r="J990" s="16" t="s">
        <v>1721</v>
      </c>
      <c r="K990" s="17">
        <v>200</v>
      </c>
      <c r="L990" s="18" t="s">
        <v>21</v>
      </c>
      <c r="M990" s="19">
        <v>1666</v>
      </c>
      <c r="N990" s="19">
        <v>0</v>
      </c>
      <c r="O990" s="19">
        <f t="shared" si="66"/>
        <v>333200</v>
      </c>
      <c r="P990" s="17" t="s">
        <v>187</v>
      </c>
    </row>
    <row r="991" spans="1:16" x14ac:dyDescent="0.3">
      <c r="A991" s="9" t="s">
        <v>1692</v>
      </c>
      <c r="B991" s="10" t="s">
        <v>1718</v>
      </c>
      <c r="C991" s="11" t="s">
        <v>1719</v>
      </c>
      <c r="D991" s="12">
        <v>43971</v>
      </c>
      <c r="E991" s="12">
        <v>43971</v>
      </c>
      <c r="F991" s="13">
        <v>1004360</v>
      </c>
      <c r="G991" s="14">
        <v>0</v>
      </c>
      <c r="H991" s="9" t="s">
        <v>1720</v>
      </c>
      <c r="I991" s="15">
        <v>830037946</v>
      </c>
      <c r="J991" s="16" t="s">
        <v>1722</v>
      </c>
      <c r="K991" s="17">
        <v>376</v>
      </c>
      <c r="L991" s="18" t="s">
        <v>21</v>
      </c>
      <c r="M991" s="19">
        <v>1785</v>
      </c>
      <c r="N991" s="19">
        <v>0</v>
      </c>
      <c r="O991" s="19">
        <f t="shared" si="66"/>
        <v>671160</v>
      </c>
      <c r="P991" s="17" t="s">
        <v>187</v>
      </c>
    </row>
    <row r="992" spans="1:16" x14ac:dyDescent="0.3">
      <c r="A992" s="9" t="s">
        <v>1692</v>
      </c>
      <c r="B992" s="10" t="s">
        <v>1723</v>
      </c>
      <c r="C992" s="11" t="s">
        <v>1724</v>
      </c>
      <c r="D992" s="12">
        <v>43986</v>
      </c>
      <c r="E992" s="12">
        <v>43986</v>
      </c>
      <c r="F992" s="13">
        <v>1560000</v>
      </c>
      <c r="G992" s="14">
        <v>0</v>
      </c>
      <c r="H992" s="9" t="s">
        <v>1725</v>
      </c>
      <c r="I992" s="15">
        <v>900346622</v>
      </c>
      <c r="J992" s="16" t="s">
        <v>1726</v>
      </c>
      <c r="K992" s="17">
        <v>30</v>
      </c>
      <c r="L992" s="18" t="s">
        <v>21</v>
      </c>
      <c r="M992" s="19">
        <v>52000</v>
      </c>
      <c r="N992" s="19">
        <v>0</v>
      </c>
      <c r="O992" s="19">
        <f t="shared" si="66"/>
        <v>1560000</v>
      </c>
      <c r="P992" s="17" t="s">
        <v>82</v>
      </c>
    </row>
    <row r="993" spans="1:16" x14ac:dyDescent="0.3">
      <c r="A993" s="9" t="s">
        <v>1692</v>
      </c>
      <c r="B993" s="10" t="s">
        <v>1727</v>
      </c>
      <c r="C993" s="11" t="s">
        <v>1724</v>
      </c>
      <c r="D993" s="12">
        <v>43986</v>
      </c>
      <c r="E993" s="12">
        <v>43986</v>
      </c>
      <c r="F993" s="13">
        <v>3900000</v>
      </c>
      <c r="G993" s="14">
        <v>0</v>
      </c>
      <c r="H993" s="9" t="s">
        <v>1728</v>
      </c>
      <c r="I993" s="15">
        <v>890935513</v>
      </c>
      <c r="J993" s="16" t="s">
        <v>1729</v>
      </c>
      <c r="K993" s="17">
        <v>15</v>
      </c>
      <c r="L993" s="18" t="s">
        <v>21</v>
      </c>
      <c r="M993" s="19">
        <v>260000</v>
      </c>
      <c r="N993" s="19">
        <v>0</v>
      </c>
      <c r="O993" s="19">
        <f t="shared" si="66"/>
        <v>3900000</v>
      </c>
      <c r="P993" s="17" t="s">
        <v>185</v>
      </c>
    </row>
    <row r="994" spans="1:16" x14ac:dyDescent="0.3">
      <c r="A994" s="9" t="s">
        <v>1692</v>
      </c>
      <c r="B994" s="10" t="s">
        <v>1730</v>
      </c>
      <c r="C994" s="11" t="s">
        <v>1731</v>
      </c>
      <c r="D994" s="12">
        <v>44001</v>
      </c>
      <c r="E994" s="12">
        <v>44001</v>
      </c>
      <c r="F994" s="13">
        <v>3957720</v>
      </c>
      <c r="G994" s="14">
        <v>0</v>
      </c>
      <c r="H994" s="9" t="s">
        <v>1075</v>
      </c>
      <c r="I994" s="15">
        <v>900155107</v>
      </c>
      <c r="J994" s="16" t="s">
        <v>1732</v>
      </c>
      <c r="K994" s="17">
        <v>5</v>
      </c>
      <c r="L994" s="18" t="s">
        <v>1733</v>
      </c>
      <c r="M994" s="19">
        <v>126000</v>
      </c>
      <c r="N994" s="19">
        <v>0</v>
      </c>
      <c r="O994" s="19">
        <f t="shared" si="66"/>
        <v>630000</v>
      </c>
      <c r="P994" s="17" t="s">
        <v>257</v>
      </c>
    </row>
    <row r="995" spans="1:16" x14ac:dyDescent="0.3">
      <c r="A995" s="9" t="s">
        <v>1692</v>
      </c>
      <c r="B995" s="10" t="s">
        <v>1730</v>
      </c>
      <c r="C995" s="11" t="s">
        <v>1731</v>
      </c>
      <c r="D995" s="12">
        <v>44001</v>
      </c>
      <c r="E995" s="12">
        <v>44001</v>
      </c>
      <c r="F995" s="13">
        <v>3957720</v>
      </c>
      <c r="G995" s="14">
        <v>0</v>
      </c>
      <c r="H995" s="9" t="s">
        <v>1075</v>
      </c>
      <c r="I995" s="15">
        <v>900155107</v>
      </c>
      <c r="J995" s="16" t="s">
        <v>1734</v>
      </c>
      <c r="K995" s="17">
        <v>60</v>
      </c>
      <c r="L995" s="18" t="s">
        <v>21</v>
      </c>
      <c r="M995" s="19">
        <v>55462</v>
      </c>
      <c r="N995" s="19">
        <v>0</v>
      </c>
      <c r="O995" s="19">
        <f t="shared" si="66"/>
        <v>3327720</v>
      </c>
      <c r="P995" s="17" t="s">
        <v>98</v>
      </c>
    </row>
    <row r="996" spans="1:16" x14ac:dyDescent="0.3">
      <c r="A996" s="9" t="s">
        <v>1692</v>
      </c>
      <c r="B996" s="10" t="s">
        <v>1735</v>
      </c>
      <c r="C996" s="11" t="s">
        <v>1736</v>
      </c>
      <c r="D996" s="12">
        <v>44001</v>
      </c>
      <c r="E996" s="12">
        <v>44001</v>
      </c>
      <c r="F996" s="13">
        <v>1063680</v>
      </c>
      <c r="G996" s="14">
        <v>0</v>
      </c>
      <c r="H996" s="9" t="s">
        <v>254</v>
      </c>
      <c r="I996" s="15">
        <v>830037946</v>
      </c>
      <c r="J996" s="16" t="s">
        <v>1737</v>
      </c>
      <c r="K996" s="17">
        <v>6</v>
      </c>
      <c r="L996" s="18" t="s">
        <v>1520</v>
      </c>
      <c r="M996" s="19">
        <v>44030</v>
      </c>
      <c r="N996" s="19">
        <v>0</v>
      </c>
      <c r="O996" s="19">
        <f t="shared" si="66"/>
        <v>264180</v>
      </c>
      <c r="P996" s="17" t="s">
        <v>257</v>
      </c>
    </row>
    <row r="997" spans="1:16" x14ac:dyDescent="0.3">
      <c r="A997" s="9" t="s">
        <v>1692</v>
      </c>
      <c r="B997" s="10" t="s">
        <v>1735</v>
      </c>
      <c r="C997" s="11" t="s">
        <v>1736</v>
      </c>
      <c r="D997" s="12">
        <v>44001</v>
      </c>
      <c r="E997" s="12">
        <v>44001</v>
      </c>
      <c r="F997" s="13">
        <v>1063680</v>
      </c>
      <c r="G997" s="14">
        <v>0</v>
      </c>
      <c r="H997" s="9" t="s">
        <v>254</v>
      </c>
      <c r="I997" s="15">
        <v>830037946</v>
      </c>
      <c r="J997" s="16" t="s">
        <v>1738</v>
      </c>
      <c r="K997" s="17">
        <v>40</v>
      </c>
      <c r="L997" s="18" t="s">
        <v>515</v>
      </c>
      <c r="M997" s="19">
        <v>19992</v>
      </c>
      <c r="N997" s="19">
        <v>0</v>
      </c>
      <c r="O997" s="19">
        <f t="shared" si="66"/>
        <v>799680</v>
      </c>
      <c r="P997" s="17" t="s">
        <v>516</v>
      </c>
    </row>
    <row r="998" spans="1:16" x14ac:dyDescent="0.3">
      <c r="A998" s="9" t="s">
        <v>1692</v>
      </c>
      <c r="B998" s="10" t="s">
        <v>1739</v>
      </c>
      <c r="C998" s="11" t="s">
        <v>1740</v>
      </c>
      <c r="D998" s="12">
        <v>44008</v>
      </c>
      <c r="E998" s="12">
        <v>44008</v>
      </c>
      <c r="F998" s="13">
        <v>1949822</v>
      </c>
      <c r="G998" s="14">
        <v>0</v>
      </c>
      <c r="H998" s="9" t="s">
        <v>60</v>
      </c>
      <c r="I998" s="15">
        <v>830001338</v>
      </c>
      <c r="J998" s="16" t="s">
        <v>1741</v>
      </c>
      <c r="K998" s="17">
        <v>265.5</v>
      </c>
      <c r="L998" s="18" t="s">
        <v>36</v>
      </c>
      <c r="M998" s="19">
        <v>6590.666666666667</v>
      </c>
      <c r="N998" s="19">
        <v>0</v>
      </c>
      <c r="O998" s="19">
        <f t="shared" si="66"/>
        <v>1749822</v>
      </c>
      <c r="P998" s="17" t="s">
        <v>161</v>
      </c>
    </row>
    <row r="999" spans="1:16" x14ac:dyDescent="0.3">
      <c r="A999" s="9" t="s">
        <v>1692</v>
      </c>
      <c r="B999" s="10" t="s">
        <v>1742</v>
      </c>
      <c r="C999" s="11" t="s">
        <v>1740</v>
      </c>
      <c r="D999" s="12">
        <v>44008</v>
      </c>
      <c r="E999" s="12">
        <v>44008</v>
      </c>
      <c r="F999" s="13">
        <v>2535000</v>
      </c>
      <c r="G999" s="14">
        <v>0</v>
      </c>
      <c r="H999" s="9" t="s">
        <v>280</v>
      </c>
      <c r="I999" s="15">
        <v>900505419</v>
      </c>
      <c r="J999" s="16" t="s">
        <v>1743</v>
      </c>
      <c r="K999" s="17">
        <v>350</v>
      </c>
      <c r="L999" s="18" t="s">
        <v>21</v>
      </c>
      <c r="M999" s="19">
        <v>6900</v>
      </c>
      <c r="N999" s="19">
        <v>0</v>
      </c>
      <c r="O999" s="19">
        <f t="shared" si="66"/>
        <v>2415000</v>
      </c>
      <c r="P999" s="17" t="s">
        <v>75</v>
      </c>
    </row>
    <row r="1000" spans="1:16" x14ac:dyDescent="0.3">
      <c r="A1000" s="9" t="s">
        <v>1692</v>
      </c>
      <c r="B1000" s="10" t="s">
        <v>1744</v>
      </c>
      <c r="C1000" s="11" t="s">
        <v>1740</v>
      </c>
      <c r="D1000" s="12">
        <v>44008</v>
      </c>
      <c r="E1000" s="12">
        <v>44008</v>
      </c>
      <c r="F1000" s="13">
        <v>2844000</v>
      </c>
      <c r="G1000" s="14">
        <v>0</v>
      </c>
      <c r="H1000" s="9" t="s">
        <v>356</v>
      </c>
      <c r="I1000" s="15">
        <v>900300970</v>
      </c>
      <c r="J1000" s="16" t="s">
        <v>69</v>
      </c>
      <c r="K1000" s="17">
        <v>60</v>
      </c>
      <c r="L1000" s="18" t="s">
        <v>70</v>
      </c>
      <c r="M1000" s="19">
        <v>46900</v>
      </c>
      <c r="N1000" s="19">
        <v>0</v>
      </c>
      <c r="O1000" s="19">
        <f t="shared" si="66"/>
        <v>2814000</v>
      </c>
      <c r="P1000" s="17" t="s">
        <v>69</v>
      </c>
    </row>
    <row r="1001" spans="1:16" x14ac:dyDescent="0.3">
      <c r="A1001" s="9" t="s">
        <v>1692</v>
      </c>
      <c r="B1001" s="10" t="s">
        <v>1745</v>
      </c>
      <c r="C1001" s="11" t="s">
        <v>1746</v>
      </c>
      <c r="D1001" s="12">
        <v>44008</v>
      </c>
      <c r="E1001" s="12">
        <v>44008</v>
      </c>
      <c r="F1001" s="13">
        <v>5394001</v>
      </c>
      <c r="G1001" s="14">
        <v>0</v>
      </c>
      <c r="H1001" s="9" t="s">
        <v>60</v>
      </c>
      <c r="I1001" s="15">
        <v>830001338</v>
      </c>
      <c r="J1001" s="16" t="s">
        <v>1747</v>
      </c>
      <c r="K1001" s="17">
        <v>6000</v>
      </c>
      <c r="L1001" s="18" t="s">
        <v>21</v>
      </c>
      <c r="M1001" s="19">
        <v>899</v>
      </c>
      <c r="N1001" s="19">
        <v>0</v>
      </c>
      <c r="O1001" s="19">
        <f t="shared" si="66"/>
        <v>5394000</v>
      </c>
      <c r="P1001" s="17" t="s">
        <v>31</v>
      </c>
    </row>
    <row r="1002" spans="1:16" x14ac:dyDescent="0.3">
      <c r="A1002" s="9" t="s">
        <v>1692</v>
      </c>
      <c r="B1002" s="10" t="s">
        <v>1748</v>
      </c>
      <c r="C1002" s="11" t="s">
        <v>1749</v>
      </c>
      <c r="D1002" s="12">
        <v>44034</v>
      </c>
      <c r="E1002" s="12">
        <v>44034</v>
      </c>
      <c r="F1002" s="13">
        <v>2410000</v>
      </c>
      <c r="G1002" s="14">
        <v>0</v>
      </c>
      <c r="H1002" s="9" t="s">
        <v>1075</v>
      </c>
      <c r="I1002" s="15">
        <v>901211678</v>
      </c>
      <c r="J1002" s="16" t="s">
        <v>364</v>
      </c>
      <c r="K1002" s="17">
        <v>600</v>
      </c>
      <c r="L1002" s="18" t="s">
        <v>21</v>
      </c>
      <c r="M1002" s="19">
        <v>3850</v>
      </c>
      <c r="N1002" s="19">
        <v>0</v>
      </c>
      <c r="O1002" s="19">
        <f t="shared" si="66"/>
        <v>2310000</v>
      </c>
      <c r="P1002" s="17" t="s">
        <v>75</v>
      </c>
    </row>
    <row r="1003" spans="1:16" x14ac:dyDescent="0.3">
      <c r="A1003" s="9" t="s">
        <v>1692</v>
      </c>
      <c r="B1003" s="10" t="s">
        <v>2137</v>
      </c>
      <c r="C1003" s="11" t="s">
        <v>2158</v>
      </c>
      <c r="D1003" s="12" t="s">
        <v>2138</v>
      </c>
      <c r="E1003" s="12" t="s">
        <v>2138</v>
      </c>
      <c r="F1003" s="13">
        <v>5006952</v>
      </c>
      <c r="G1003" s="14">
        <v>0</v>
      </c>
      <c r="H1003" s="9" t="s">
        <v>2139</v>
      </c>
      <c r="I1003" s="15">
        <v>1013582086</v>
      </c>
      <c r="J1003" s="16" t="s">
        <v>2167</v>
      </c>
      <c r="K1003" s="17">
        <v>1</v>
      </c>
      <c r="L1003" s="18" t="s">
        <v>44</v>
      </c>
      <c r="M1003" s="19">
        <v>1668984</v>
      </c>
      <c r="N1003" s="19">
        <v>0</v>
      </c>
      <c r="O1003" s="19">
        <f>K1003*(M1003+N1003)*3</f>
        <v>5006952</v>
      </c>
      <c r="P1003" s="17" t="s">
        <v>45</v>
      </c>
    </row>
    <row r="1004" spans="1:16" x14ac:dyDescent="0.3">
      <c r="A1004" s="9" t="s">
        <v>1692</v>
      </c>
      <c r="B1004" s="10" t="s">
        <v>2140</v>
      </c>
      <c r="C1004" s="11" t="s">
        <v>2158</v>
      </c>
      <c r="D1004" s="12" t="s">
        <v>2138</v>
      </c>
      <c r="E1004" s="12" t="s">
        <v>2138</v>
      </c>
      <c r="F1004" s="13">
        <v>5006952</v>
      </c>
      <c r="G1004" s="14">
        <v>0</v>
      </c>
      <c r="H1004" s="9" t="s">
        <v>2141</v>
      </c>
      <c r="I1004" s="15">
        <v>86049403</v>
      </c>
      <c r="J1004" s="16" t="s">
        <v>2167</v>
      </c>
      <c r="K1004" s="17">
        <v>1</v>
      </c>
      <c r="L1004" s="18" t="s">
        <v>44</v>
      </c>
      <c r="M1004" s="19">
        <v>1668984</v>
      </c>
      <c r="N1004" s="19">
        <v>0</v>
      </c>
      <c r="O1004" s="19">
        <f>K1004*(M1004+N1004)*3</f>
        <v>5006952</v>
      </c>
      <c r="P1004" s="17" t="s">
        <v>45</v>
      </c>
    </row>
    <row r="1005" spans="1:16" x14ac:dyDescent="0.3">
      <c r="A1005" s="9" t="s">
        <v>1692</v>
      </c>
      <c r="B1005" s="10" t="s">
        <v>2142</v>
      </c>
      <c r="C1005" s="11" t="s">
        <v>2159</v>
      </c>
      <c r="D1005" s="12" t="s">
        <v>2143</v>
      </c>
      <c r="E1005" s="12" t="s">
        <v>2143</v>
      </c>
      <c r="F1005" s="13">
        <v>1908000</v>
      </c>
      <c r="G1005" s="14">
        <v>0</v>
      </c>
      <c r="H1005" s="9" t="s">
        <v>2144</v>
      </c>
      <c r="I1005" s="15">
        <v>901261986</v>
      </c>
      <c r="J1005" s="16" t="s">
        <v>69</v>
      </c>
      <c r="K1005" s="17">
        <v>53</v>
      </c>
      <c r="L1005" s="18" t="s">
        <v>70</v>
      </c>
      <c r="M1005" s="19">
        <v>36000</v>
      </c>
      <c r="N1005" s="19">
        <v>0</v>
      </c>
      <c r="O1005" s="19">
        <f>K1005*(M1005+N1005)</f>
        <v>1908000</v>
      </c>
      <c r="P1005" s="17" t="s">
        <v>69</v>
      </c>
    </row>
    <row r="1006" spans="1:16" x14ac:dyDescent="0.3">
      <c r="A1006" s="9" t="s">
        <v>1692</v>
      </c>
      <c r="B1006" s="10" t="s">
        <v>2145</v>
      </c>
      <c r="C1006" s="11" t="s">
        <v>2160</v>
      </c>
      <c r="D1006" s="12" t="s">
        <v>2143</v>
      </c>
      <c r="E1006" s="12" t="s">
        <v>2143</v>
      </c>
      <c r="F1006" s="13">
        <v>4183500</v>
      </c>
      <c r="G1006" s="14">
        <v>0</v>
      </c>
      <c r="H1006" s="9" t="s">
        <v>2146</v>
      </c>
      <c r="I1006" s="15">
        <v>900401108</v>
      </c>
      <c r="J1006" s="16" t="s">
        <v>1088</v>
      </c>
      <c r="K1006" s="17">
        <v>8300</v>
      </c>
      <c r="L1006" s="18" t="s">
        <v>21</v>
      </c>
      <c r="M1006" s="19">
        <v>495</v>
      </c>
      <c r="N1006" s="19">
        <v>0</v>
      </c>
      <c r="O1006" s="19">
        <f>K1006*(M1006+N1006)</f>
        <v>4108500</v>
      </c>
      <c r="P1006" s="17" t="s">
        <v>31</v>
      </c>
    </row>
    <row r="1007" spans="1:16" x14ac:dyDescent="0.3">
      <c r="A1007" s="9" t="s">
        <v>1692</v>
      </c>
      <c r="B1007" s="10" t="s">
        <v>2147</v>
      </c>
      <c r="C1007" s="11" t="s">
        <v>2161</v>
      </c>
      <c r="D1007" s="12">
        <v>44161</v>
      </c>
      <c r="E1007" s="12">
        <v>44161</v>
      </c>
      <c r="F1007" s="13">
        <v>221475</v>
      </c>
      <c r="G1007" s="14">
        <v>0</v>
      </c>
      <c r="H1007" s="9" t="s">
        <v>508</v>
      </c>
      <c r="I1007" s="15">
        <v>90079167</v>
      </c>
      <c r="J1007" s="16" t="s">
        <v>2166</v>
      </c>
      <c r="K1007" s="17">
        <v>100</v>
      </c>
      <c r="L1007" s="18" t="s">
        <v>21</v>
      </c>
      <c r="M1007" s="19">
        <v>1525</v>
      </c>
      <c r="N1007" s="19">
        <f>M1007*0.19</f>
        <v>289.75</v>
      </c>
      <c r="O1007" s="19">
        <f>K1007*(M1007+N1007)</f>
        <v>181475</v>
      </c>
      <c r="P1007" s="17" t="s">
        <v>869</v>
      </c>
    </row>
    <row r="1008" spans="1:16" x14ac:dyDescent="0.3">
      <c r="A1008" s="9" t="s">
        <v>1692</v>
      </c>
      <c r="B1008" s="10" t="s">
        <v>2148</v>
      </c>
      <c r="C1008" s="11" t="s">
        <v>2162</v>
      </c>
      <c r="D1008" s="12">
        <v>44161</v>
      </c>
      <c r="E1008" s="12">
        <v>44161</v>
      </c>
      <c r="F1008" s="13">
        <v>950992.34</v>
      </c>
      <c r="G1008" s="14">
        <v>0</v>
      </c>
      <c r="H1008" s="9" t="s">
        <v>271</v>
      </c>
      <c r="I1008" s="15">
        <v>192549218</v>
      </c>
      <c r="J1008" s="16" t="s">
        <v>58</v>
      </c>
      <c r="K1008" s="17">
        <v>214</v>
      </c>
      <c r="L1008" s="29" t="s">
        <v>2135</v>
      </c>
      <c r="M1008" s="19">
        <v>2949</v>
      </c>
      <c r="N1008" s="19">
        <f>M1008*0.19</f>
        <v>560.31000000000006</v>
      </c>
      <c r="O1008" s="19">
        <f>K1008*(M1008+N1008)</f>
        <v>750992.34</v>
      </c>
      <c r="P1008" s="17" t="s">
        <v>656</v>
      </c>
    </row>
    <row r="1009" spans="1:16" x14ac:dyDescent="0.3">
      <c r="A1009" s="9" t="s">
        <v>1692</v>
      </c>
      <c r="B1009" s="10" t="s">
        <v>2149</v>
      </c>
      <c r="C1009" s="11" t="s">
        <v>2163</v>
      </c>
      <c r="D1009" s="12">
        <v>44161</v>
      </c>
      <c r="E1009" s="12">
        <v>44161</v>
      </c>
      <c r="F1009" s="13">
        <v>2814570</v>
      </c>
      <c r="G1009" s="14">
        <v>0</v>
      </c>
      <c r="H1009" s="9" t="s">
        <v>964</v>
      </c>
      <c r="I1009" s="15">
        <v>830001338</v>
      </c>
      <c r="J1009" s="16" t="s">
        <v>37</v>
      </c>
      <c r="K1009" s="17">
        <v>340</v>
      </c>
      <c r="L1009" s="18" t="s">
        <v>36</v>
      </c>
      <c r="M1009" s="19">
        <v>4149</v>
      </c>
      <c r="N1009" s="19">
        <v>0</v>
      </c>
      <c r="O1009" s="19">
        <f t="shared" ref="O1009" si="71">K1009*(M1009+N1009)</f>
        <v>1410660</v>
      </c>
      <c r="P1009" s="17" t="s">
        <v>37</v>
      </c>
    </row>
    <row r="1010" spans="1:16" x14ac:dyDescent="0.3">
      <c r="A1010" s="9" t="s">
        <v>1692</v>
      </c>
      <c r="B1010" s="10" t="s">
        <v>2149</v>
      </c>
      <c r="C1010" s="11" t="s">
        <v>2163</v>
      </c>
      <c r="D1010" s="12">
        <v>44161</v>
      </c>
      <c r="E1010" s="12">
        <v>44161</v>
      </c>
      <c r="F1010" s="13">
        <v>2814570</v>
      </c>
      <c r="G1010" s="14">
        <v>0</v>
      </c>
      <c r="H1010" s="9" t="s">
        <v>964</v>
      </c>
      <c r="I1010" s="15">
        <v>830001338</v>
      </c>
      <c r="J1010" s="16" t="s">
        <v>2168</v>
      </c>
      <c r="K1010" s="17">
        <v>270</v>
      </c>
      <c r="L1010" s="18" t="s">
        <v>36</v>
      </c>
      <c r="M1010" s="19">
        <v>3533</v>
      </c>
      <c r="N1010" s="19">
        <v>0</v>
      </c>
      <c r="O1010" s="19">
        <f t="shared" ref="O1010:O1014" si="72">K1010*(M1010+N1010)</f>
        <v>953910</v>
      </c>
      <c r="P1010" s="17" t="s">
        <v>161</v>
      </c>
    </row>
    <row r="1011" spans="1:16" x14ac:dyDescent="0.3">
      <c r="A1011" s="9" t="s">
        <v>1692</v>
      </c>
      <c r="B1011" s="10" t="s">
        <v>2150</v>
      </c>
      <c r="C1011" s="11" t="s">
        <v>2159</v>
      </c>
      <c r="D1011" s="12">
        <v>44161</v>
      </c>
      <c r="E1011" s="12">
        <v>44161</v>
      </c>
      <c r="F1011" s="13">
        <v>5549900</v>
      </c>
      <c r="G1011" s="14">
        <v>0</v>
      </c>
      <c r="H1011" s="9" t="s">
        <v>2151</v>
      </c>
      <c r="I1011" s="15">
        <v>830051855</v>
      </c>
      <c r="J1011" s="16" t="s">
        <v>69</v>
      </c>
      <c r="K1011" s="17">
        <v>127</v>
      </c>
      <c r="L1011" s="18" t="s">
        <v>70</v>
      </c>
      <c r="M1011" s="19">
        <v>43700</v>
      </c>
      <c r="N1011" s="19">
        <v>0</v>
      </c>
      <c r="O1011" s="19">
        <f t="shared" si="72"/>
        <v>5549900</v>
      </c>
      <c r="P1011" s="17" t="s">
        <v>69</v>
      </c>
    </row>
    <row r="1012" spans="1:16" x14ac:dyDescent="0.3">
      <c r="A1012" s="9" t="s">
        <v>1692</v>
      </c>
      <c r="B1012" s="10" t="s">
        <v>2152</v>
      </c>
      <c r="C1012" s="11" t="s">
        <v>2164</v>
      </c>
      <c r="D1012" s="12">
        <v>44161</v>
      </c>
      <c r="E1012" s="12">
        <v>44161</v>
      </c>
      <c r="F1012" s="13">
        <v>1234000</v>
      </c>
      <c r="G1012" s="14">
        <v>0</v>
      </c>
      <c r="H1012" s="9" t="s">
        <v>2153</v>
      </c>
      <c r="I1012" s="15">
        <v>90090793</v>
      </c>
      <c r="J1012" s="16" t="s">
        <v>75</v>
      </c>
      <c r="K1012" s="17">
        <v>617</v>
      </c>
      <c r="L1012" s="18" t="s">
        <v>21</v>
      </c>
      <c r="M1012" s="19">
        <v>2000</v>
      </c>
      <c r="N1012" s="19">
        <v>0</v>
      </c>
      <c r="O1012" s="19">
        <f t="shared" si="72"/>
        <v>1234000</v>
      </c>
      <c r="P1012" s="17" t="s">
        <v>75</v>
      </c>
    </row>
    <row r="1013" spans="1:16" x14ac:dyDescent="0.3">
      <c r="A1013" s="9" t="s">
        <v>1692</v>
      </c>
      <c r="B1013" s="10" t="s">
        <v>2154</v>
      </c>
      <c r="C1013" s="11" t="s">
        <v>2165</v>
      </c>
      <c r="D1013" s="12">
        <v>44161</v>
      </c>
      <c r="E1013" s="12">
        <v>44161</v>
      </c>
      <c r="F1013" s="13">
        <v>17585000</v>
      </c>
      <c r="G1013" s="14">
        <v>0</v>
      </c>
      <c r="H1013" s="9" t="s">
        <v>2155</v>
      </c>
      <c r="I1013" s="15">
        <v>90040108</v>
      </c>
      <c r="J1013" s="16" t="s">
        <v>31</v>
      </c>
      <c r="K1013" s="17">
        <v>31500</v>
      </c>
      <c r="L1013" s="18" t="s">
        <v>21</v>
      </c>
      <c r="M1013" s="19">
        <v>500</v>
      </c>
      <c r="N1013" s="19">
        <v>0</v>
      </c>
      <c r="O1013" s="19">
        <f t="shared" si="72"/>
        <v>15750000</v>
      </c>
      <c r="P1013" s="17" t="s">
        <v>31</v>
      </c>
    </row>
    <row r="1014" spans="1:16" x14ac:dyDescent="0.3">
      <c r="A1014" s="9" t="s">
        <v>1692</v>
      </c>
      <c r="B1014" s="10" t="s">
        <v>2156</v>
      </c>
      <c r="C1014" s="11" t="s">
        <v>2159</v>
      </c>
      <c r="D1014" s="12">
        <v>44161</v>
      </c>
      <c r="E1014" s="12">
        <v>44161</v>
      </c>
      <c r="F1014" s="13">
        <v>6496000</v>
      </c>
      <c r="G1014" s="14">
        <v>0</v>
      </c>
      <c r="H1014" s="9" t="s">
        <v>2157</v>
      </c>
      <c r="I1014" s="15">
        <v>90079167</v>
      </c>
      <c r="J1014" s="16" t="s">
        <v>69</v>
      </c>
      <c r="K1014" s="17">
        <v>127</v>
      </c>
      <c r="L1014" s="18" t="s">
        <v>70</v>
      </c>
      <c r="M1014" s="19">
        <v>48000</v>
      </c>
      <c r="N1014" s="19">
        <v>0</v>
      </c>
      <c r="O1014" s="19">
        <f t="shared" si="72"/>
        <v>6096000</v>
      </c>
      <c r="P1014" s="17" t="s">
        <v>69</v>
      </c>
    </row>
    <row r="1027" spans="10:10" x14ac:dyDescent="0.3">
      <c r="J1027" t="str">
        <f t="shared" ref="J1027" si="73">UPPER(J1015)</f>
        <v/>
      </c>
    </row>
  </sheetData>
  <autoFilter ref="A1:P1014">
    <sortState ref="A2:P751">
      <sortCondition ref="A2:A751"/>
    </sortState>
  </autoFilter>
  <dataValidations xWindow="760" yWindow="523" count="23">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D252:E252">
      <formula1>0</formula1>
      <formula2>200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E316:E317">
      <formula1>1900/1/1</formula1>
      <formula2>3000/1/1</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D610:E616 D894:D895 E969:E9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425:B427 B475:B476 B692:B693 B792:B793 B605:B607 B610:B616 B863 B894:B895 B987:B991 B1000:B1001 B197 B192:B193 B318:B326 B241:B244 B960:B980 B278:B285 B227:B228 B1005:B10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C232 C192 C257:C260 H641 C919:C920 J1005:J1006 P1005:P100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F666:F667 A227:A228 A987:A988 A1000:A1001 G667">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809:G811 G192 G261:G269 G233:G240 G330 G388:G389 G167 G881 G854:G861 G295:G303 G285:G289 G231 G642:G647 G689:G694 G273:G283 G291:G292 G305:G313 G839:G84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161:A165 A995:A998">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B176:B178">
      <formula1>0</formula1>
      <formula2>290</formula2>
    </dataValidation>
    <dataValidation type="textLength" allowBlank="1" showInputMessage="1" showErrorMessage="1" errorTitle="Entrada no válida" error="Escriba un texto  Maximo 8 Caracteres" promptTitle="Cualquier contenido Maximo 8 Caracteres" prompt=" Registre los 8 digitos del código SECOP" sqref="F176:F178">
      <formula1>0</formula1>
      <formula2>8</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H251 H176:H178">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E176:E17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154 J637 J634:J635 C100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123:F126 F227:F230 F315 F328 F373 F417:F418 F425:F457 F475:F476 F692:F693 F791:F793 F605:F607 F610:F616 F863 F191:F193 F908:F917 F944:F946 F987:F991 F1000:F1002 F197 F320:F326 F241:F244 F919:F923 F941:F942 F812 F960 T241 F814:F828 F1009:F1012 F1005:F1007 F1014 F697:F700 F768:F769 F7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129 B191 B159:B160 B166:B175 B109:B126 B214:B226 B183 B386:B424 B428:B474 B694:B696 B257:B260 B791 B608:B609 B627:B641 B944 B919:B920 B993:B994 B999 B1002 B864:B882 B315:B317 B229:B230 B198:B205 B78:B81 B232:B239 D176:D178 B643:B647 B689:B691 B327:B380 B139:B154 B839:B862 B60:B6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791:H793 H129 H166:H175 H156:H160 H179:H183 H362:H366 H373:H401 H407:H414 H691:H694 H637:H640 H697 H60:H72 H894:H895 H820:H821 H417:H425 H427:H476 H605:H607 H860:H863 H610:H633 H987:H994 H999:H1002 H900:H904 H908:H923 H214:H230 H197:H205 H191:H193 H113:H121 H75:H81 H109:H110 H232 H257:H260 H643:H647 H689 H828 H818 H823 H825 H245:H249 H941:H947 H241 H960 H123:H126 H315:H360 H139:H152 H839:H858 H1009:H1013 H1005:H1006 H731:H736">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75 I77 I116:I117 I60:I66 I123:I126 I140:I141 I158 I196 I225:I226 I214:I221 I329 I386:I387 I417:I418 I415 I400:I401 I690 I694 I641 I861 I919:I920 I941 I168:I183 I251 I285 I968 I96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76 I67:I74 I184:I186 I129 I139 I166:I167 I222:I228 I327 I362:I366 I381:I385 I407:I408 I388:I399 I411:I414 I425:I427 I458:I476 I245:I247 I637:I640 I691:I693 I695 I643 I697 I791:I793 I605:I607 I862:I863 I610:I633 I894:I895 I908:I918 I689 I987:I994 I999:I1002 I942:I947 I900:I904 I854:I860 I318:I325 I197:I205 I192:I193 I118:I121 I78:I81 I109:I115 I249 I241 I646:I647 I921:I923 I960 I330:I359 I142:I152 I839:I849 I1005:I1006 I1008 I731:I73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158:A160 A791:A793 A849:A882 A989:A994 A999 A1002 A634:A647 A109:A155 A229:A457 A166:A226 A768 A689:A76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129 F158:F160 F166:F175 F214:F224 F327 F388:F401 F407:F416 F458:F470 F617:F633 F637:F640 F694 F918 F944 F946 F689:F691 F993:F994 F999 F900:F904 F829:F830 F866:F882 F316:F319 F198:F205 F941:F942 F386 F60:F81 F109:F121 F183 F233 F236:F239 F277 F643:F647 F920:F923 F330:F372 F135:F152 F832:F86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B2 E330:E372 G8 E60:E68 E76 E73:E74 E129 E156:E175 E214:E226 E327 E388:E401 E407:E416 E458:E474 E637:E640 E695 E277 E770:E776 E784:E790 E617:E633 E918 E921 E947 E992:E999 A35:B52 E809:E811 E900:E904 E866:E882 E854:E862 S82 E198:E205 D53:E59 A948:B959 E183:E190 E78:E81 E109:E122 D82:E82 AH82:AI82 AX82:AY82 BN82:BO82 CD82:CE82 CT82:CU82 DJ82:DK82 DZ82:EA82 EP82:EQ82 FF82:FG82 FV82:FW82 GL82:GM82 HB82:HC82 HR82:HS82 IH82:II82 IX82:IY82 JN82:JO82 KD82:KE82 KT82:KU82 LJ82:LK82 LZ82:MA82 MP82:MQ82 NF82:NG82 NV82:NW82 OL82:OM82 PB82:PC82 PR82:PS82 QH82:QI82 QX82:QY82 RN82:RO82 SD82:SE82 ST82:SU82 TJ82:TK82 TZ82:UA82 UP82:UQ82 VF82:VG82 VV82:VW82 WL82:WM82 XB82:XC82 XR82:XS82 YH82:YI82 YX82:YY82 ZN82:ZO82 AAD82:AAE82 AAT82:AAU82 ABJ82:ABK82 ABZ82:ACA82 ACP82:ACQ82 ADF82:ADG82 ADV82:ADW82 AEL82:AEM82 AFB82:AFC82 AFR82:AFS82 AGH82:AGI82 AGX82:AGY82 AHN82:AHO82 AID82:AIE82 AIT82:AIU82 AJJ82:AJK82 AJZ82:AKA82 AKP82:AKQ82 ALF82:ALG82 ALV82:ALW82 AML82:AMM82 ANB82:ANC82 ANR82:ANS82 AOH82:AOI82 AOX82:AOY82 APN82:APO82 AQD82:AQE82 AQT82:AQU82 ARJ82:ARK82 ARZ82:ASA82 ASP82:ASQ82 ATF82:ATG82 ATV82:ATW82 AUL82:AUM82 AVB82:AVC82 AVR82:AVS82 AWH82:AWI82 AWX82:AWY82 AXN82:AXO82 AYD82:AYE82 AYT82:AYU82 AZJ82:AZK82 AZZ82:BAA82 BAP82:BAQ82 BBF82:BBG82 BBV82:BBW82 BCL82:BCM82 BDB82:BDC82 BDR82:BDS82 BEH82:BEI82 BEX82:BEY82 BFN82:BFO82 BGD82:BGE82 BGT82:BGU82 BHJ82:BHK82 BHZ82:BIA82 BIP82:BIQ82 BJF82:BJG82 BJV82:BJW82 BKL82:BKM82 BLB82:BLC82 BLR82:BLS82 BMH82:BMI82 BMX82:BMY82 BNN82:BNO82 BOD82:BOE82 BOT82:BOU82 BPJ82:BPK82 BPZ82:BQA82 BQP82:BQQ82 BRF82:BRG82 BRV82:BRW82 BSL82:BSM82 BTB82:BTC82 BTR82:BTS82 BUH82:BUI82 BUX82:BUY82 BVN82:BVO82 BWD82:BWE82 BWT82:BWU82 BXJ82:BXK82 BXZ82:BYA82 BYP82:BYQ82 BZF82:BZG82 BZV82:BZW82 CAL82:CAM82 CBB82:CBC82 CBR82:CBS82 CCH82:CCI82 CCX82:CCY82 CDN82:CDO82 CED82:CEE82 CET82:CEU82 CFJ82:CFK82 CFZ82:CGA82 CGP82:CGQ82 CHF82:CHG82 CHV82:CHW82 CIL82:CIM82 CJB82:CJC82 CJR82:CJS82 CKH82:CKI82 CKX82:CKY82 CLN82:CLO82 CMD82:CME82 CMT82:CMU82 CNJ82:CNK82 CNZ82:COA82 COP82:COQ82 CPF82:CPG82 CPV82:CPW82 CQL82:CQM82 CRB82:CRC82 CRR82:CRS82 CSH82:CSI82 CSX82:CSY82 CTN82:CTO82 CUD82:CUE82 CUT82:CUU82 CVJ82:CVK82 CVZ82:CWA82 CWP82:CWQ82 CXF82:CXG82 CXV82:CXW82 CYL82:CYM82 CZB82:CZC82 CZR82:CZS82 DAH82:DAI82 DAX82:DAY82 DBN82:DBO82 DCD82:DCE82 DCT82:DCU82 DDJ82:DDK82 DDZ82:DEA82 DEP82:DEQ82 DFF82:DFG82 DFV82:DFW82 DGL82:DGM82 DHB82:DHC82 DHR82:DHS82 DIH82:DII82 DIX82:DIY82 DJN82:DJO82 DKD82:DKE82 DKT82:DKU82 DLJ82:DLK82 DLZ82:DMA82 DMP82:DMQ82 DNF82:DNG82 DNV82:DNW82 DOL82:DOM82 DPB82:DPC82 DPR82:DPS82 DQH82:DQI82 DQX82:DQY82 DRN82:DRO82 DSD82:DSE82 DST82:DSU82 DTJ82:DTK82 DTZ82:DUA82 DUP82:DUQ82 DVF82:DVG82 DVV82:DVW82 DWL82:DWM82 DXB82:DXC82 DXR82:DXS82 DYH82:DYI82 DYX82:DYY82 DZN82:DZO82 EAD82:EAE82 EAT82:EAU82 EBJ82:EBK82 EBZ82:ECA82 ECP82:ECQ82 EDF82:EDG82 EDV82:EDW82 EEL82:EEM82 EFB82:EFC82 EFR82:EFS82 EGH82:EGI82 EGX82:EGY82 EHN82:EHO82 EID82:EIE82 EIT82:EIU82 EJJ82:EJK82 EJZ82:EKA82 EKP82:EKQ82 ELF82:ELG82 ELV82:ELW82 EML82:EMM82 ENB82:ENC82 ENR82:ENS82 EOH82:EOI82 EOX82:EOY82 EPN82:EPO82 EQD82:EQE82 EQT82:EQU82 ERJ82:ERK82 ERZ82:ESA82 ESP82:ESQ82 ETF82:ETG82 ETV82:ETW82 EUL82:EUM82 EVB82:EVC82 EVR82:EVS82 EWH82:EWI82 EWX82:EWY82 EXN82:EXO82 EYD82:EYE82 EYT82:EYU82 EZJ82:EZK82 EZZ82:FAA82 FAP82:FAQ82 FBF82:FBG82 FBV82:FBW82 FCL82:FCM82 FDB82:FDC82 FDR82:FDS82 FEH82:FEI82 FEX82:FEY82 FFN82:FFO82 FGD82:FGE82 FGT82:FGU82 FHJ82:FHK82 FHZ82:FIA82 FIP82:FIQ82 FJF82:FJG82 FJV82:FJW82 FKL82:FKM82 FLB82:FLC82 FLR82:FLS82 FMH82:FMI82 FMX82:FMY82 FNN82:FNO82 FOD82:FOE82 FOT82:FOU82 FPJ82:FPK82 FPZ82:FQA82 FQP82:FQQ82 FRF82:FRG82 FRV82:FRW82 FSL82:FSM82 FTB82:FTC82 FTR82:FTS82 FUH82:FUI82 FUX82:FUY82 FVN82:FVO82 FWD82:FWE82 FWT82:FWU82 FXJ82:FXK82 FXZ82:FYA82 FYP82:FYQ82 FZF82:FZG82 FZV82:FZW82 GAL82:GAM82 GBB82:GBC82 GBR82:GBS82 GCH82:GCI82 GCX82:GCY82 GDN82:GDO82 GED82:GEE82 GET82:GEU82 GFJ82:GFK82 GFZ82:GGA82 GGP82:GGQ82 GHF82:GHG82 GHV82:GHW82 GIL82:GIM82 GJB82:GJC82 GJR82:GJS82 GKH82:GKI82 GKX82:GKY82 GLN82:GLO82 GMD82:GME82 GMT82:GMU82 GNJ82:GNK82 GNZ82:GOA82 GOP82:GOQ82 GPF82:GPG82 GPV82:GPW82 GQL82:GQM82 GRB82:GRC82 GRR82:GRS82 GSH82:GSI82 GSX82:GSY82 GTN82:GTO82 GUD82:GUE82 GUT82:GUU82 GVJ82:GVK82 GVZ82:GWA82 GWP82:GWQ82 GXF82:GXG82 GXV82:GXW82 GYL82:GYM82 GZB82:GZC82 GZR82:GZS82 HAH82:HAI82 HAX82:HAY82 HBN82:HBO82 HCD82:HCE82 HCT82:HCU82 HDJ82:HDK82 HDZ82:HEA82 HEP82:HEQ82 HFF82:HFG82 HFV82:HFW82 HGL82:HGM82 HHB82:HHC82 HHR82:HHS82 HIH82:HII82 HIX82:HIY82 HJN82:HJO82 HKD82:HKE82 HKT82:HKU82 HLJ82:HLK82 HLZ82:HMA82 HMP82:HMQ82 HNF82:HNG82 HNV82:HNW82 HOL82:HOM82 HPB82:HPC82 HPR82:HPS82 HQH82:HQI82 HQX82:HQY82 HRN82:HRO82 HSD82:HSE82 HST82:HSU82 HTJ82:HTK82 HTZ82:HUA82 HUP82:HUQ82 HVF82:HVG82 HVV82:HVW82 HWL82:HWM82 HXB82:HXC82 HXR82:HXS82 HYH82:HYI82 HYX82:HYY82 HZN82:HZO82 IAD82:IAE82 IAT82:IAU82 IBJ82:IBK82 IBZ82:ICA82 ICP82:ICQ82 IDF82:IDG82 IDV82:IDW82 IEL82:IEM82 IFB82:IFC82 IFR82:IFS82 IGH82:IGI82 IGX82:IGY82 IHN82:IHO82 IID82:IIE82 IIT82:IIU82 IJJ82:IJK82 IJZ82:IKA82 IKP82:IKQ82 ILF82:ILG82 ILV82:ILW82 IML82:IMM82 INB82:INC82 INR82:INS82 IOH82:IOI82 IOX82:IOY82 IPN82:IPO82 IQD82:IQE82 IQT82:IQU82 IRJ82:IRK82 IRZ82:ISA82 ISP82:ISQ82 ITF82:ITG82 ITV82:ITW82 IUL82:IUM82 IVB82:IVC82 IVR82:IVS82 IWH82:IWI82 IWX82:IWY82 IXN82:IXO82 IYD82:IYE82 IYT82:IYU82 IZJ82:IZK82 IZZ82:JAA82 JAP82:JAQ82 JBF82:JBG82 JBV82:JBW82 JCL82:JCM82 JDB82:JDC82 JDR82:JDS82 JEH82:JEI82 JEX82:JEY82 JFN82:JFO82 JGD82:JGE82 JGT82:JGU82 JHJ82:JHK82 JHZ82:JIA82 JIP82:JIQ82 JJF82:JJG82 JJV82:JJW82 JKL82:JKM82 JLB82:JLC82 JLR82:JLS82 JMH82:JMI82 JMX82:JMY82 JNN82:JNO82 JOD82:JOE82 JOT82:JOU82 JPJ82:JPK82 JPZ82:JQA82 JQP82:JQQ82 JRF82:JRG82 JRV82:JRW82 JSL82:JSM82 JTB82:JTC82 JTR82:JTS82 JUH82:JUI82 JUX82:JUY82 JVN82:JVO82 JWD82:JWE82 JWT82:JWU82 JXJ82:JXK82 JXZ82:JYA82 JYP82:JYQ82 JZF82:JZG82 JZV82:JZW82 KAL82:KAM82 KBB82:KBC82 KBR82:KBS82 KCH82:KCI82 KCX82:KCY82 KDN82:KDO82 KED82:KEE82 KET82:KEU82 KFJ82:KFK82 KFZ82:KGA82 KGP82:KGQ82 KHF82:KHG82 KHV82:KHW82 KIL82:KIM82 KJB82:KJC82 KJR82:KJS82 KKH82:KKI82 KKX82:KKY82 KLN82:KLO82 KMD82:KME82 KMT82:KMU82 KNJ82:KNK82 KNZ82:KOA82 KOP82:KOQ82 KPF82:KPG82 KPV82:KPW82 KQL82:KQM82 KRB82:KRC82 KRR82:KRS82 KSH82:KSI82 KSX82:KSY82 KTN82:KTO82 KUD82:KUE82 KUT82:KUU82 KVJ82:KVK82 KVZ82:KWA82 KWP82:KWQ82 KXF82:KXG82 KXV82:KXW82 KYL82:KYM82 KZB82:KZC82 KZR82:KZS82 LAH82:LAI82 LAX82:LAY82 LBN82:LBO82 LCD82:LCE82 LCT82:LCU82 LDJ82:LDK82 LDZ82:LEA82 LEP82:LEQ82 LFF82:LFG82 LFV82:LFW82 LGL82:LGM82 LHB82:LHC82 LHR82:LHS82 LIH82:LII82 LIX82:LIY82 LJN82:LJO82 LKD82:LKE82 LKT82:LKU82 LLJ82:LLK82 LLZ82:LMA82 LMP82:LMQ82 LNF82:LNG82 LNV82:LNW82 LOL82:LOM82 LPB82:LPC82 LPR82:LPS82 LQH82:LQI82 LQX82:LQY82 LRN82:LRO82 LSD82:LSE82 LST82:LSU82 LTJ82:LTK82 LTZ82:LUA82 LUP82:LUQ82 LVF82:LVG82 LVV82:LVW82 LWL82:LWM82 LXB82:LXC82 LXR82:LXS82 LYH82:LYI82 LYX82:LYY82 LZN82:LZO82 MAD82:MAE82 MAT82:MAU82 MBJ82:MBK82 MBZ82:MCA82 MCP82:MCQ82 MDF82:MDG82 MDV82:MDW82 MEL82:MEM82 MFB82:MFC82 MFR82:MFS82 MGH82:MGI82 MGX82:MGY82 MHN82:MHO82 MID82:MIE82 MIT82:MIU82 MJJ82:MJK82 MJZ82:MKA82 MKP82:MKQ82 MLF82:MLG82 MLV82:MLW82 MML82:MMM82 MNB82:MNC82 MNR82:MNS82 MOH82:MOI82 MOX82:MOY82 MPN82:MPO82 MQD82:MQE82 MQT82:MQU82 MRJ82:MRK82 MRZ82:MSA82 MSP82:MSQ82 MTF82:MTG82 MTV82:MTW82 MUL82:MUM82 MVB82:MVC82 MVR82:MVS82 MWH82:MWI82 MWX82:MWY82 MXN82:MXO82 MYD82:MYE82 MYT82:MYU82 MZJ82:MZK82 MZZ82:NAA82 NAP82:NAQ82 NBF82:NBG82 NBV82:NBW82 NCL82:NCM82 NDB82:NDC82 NDR82:NDS82 NEH82:NEI82 NEX82:NEY82 NFN82:NFO82 NGD82:NGE82 NGT82:NGU82 NHJ82:NHK82 NHZ82:NIA82 NIP82:NIQ82 NJF82:NJG82 NJV82:NJW82 NKL82:NKM82 NLB82:NLC82 NLR82:NLS82 NMH82:NMI82 NMX82:NMY82 NNN82:NNO82 NOD82:NOE82 NOT82:NOU82 NPJ82:NPK82 NPZ82:NQA82 NQP82:NQQ82 NRF82:NRG82 NRV82:NRW82 NSL82:NSM82 NTB82:NTC82 NTR82:NTS82 NUH82:NUI82 NUX82:NUY82 NVN82:NVO82 NWD82:NWE82 NWT82:NWU82 NXJ82:NXK82 NXZ82:NYA82 NYP82:NYQ82 NZF82:NZG82 NZV82:NZW82 OAL82:OAM82 OBB82:OBC82 OBR82:OBS82 OCH82:OCI82 OCX82:OCY82 ODN82:ODO82 OED82:OEE82 OET82:OEU82 OFJ82:OFK82 OFZ82:OGA82 OGP82:OGQ82 OHF82:OHG82 OHV82:OHW82 OIL82:OIM82 OJB82:OJC82 OJR82:OJS82 OKH82:OKI82 OKX82:OKY82 OLN82:OLO82 OMD82:OME82 OMT82:OMU82 ONJ82:ONK82 ONZ82:OOA82 OOP82:OOQ82 OPF82:OPG82 OPV82:OPW82 OQL82:OQM82 ORB82:ORC82 ORR82:ORS82 OSH82:OSI82 OSX82:OSY82 OTN82:OTO82 OUD82:OUE82 OUT82:OUU82 OVJ82:OVK82 OVZ82:OWA82 OWP82:OWQ82 OXF82:OXG82 OXV82:OXW82 OYL82:OYM82 OZB82:OZC82 OZR82:OZS82 PAH82:PAI82 PAX82:PAY82 PBN82:PBO82 PCD82:PCE82 PCT82:PCU82 PDJ82:PDK82 PDZ82:PEA82 PEP82:PEQ82 PFF82:PFG82 PFV82:PFW82 PGL82:PGM82 PHB82:PHC82 PHR82:PHS82 PIH82:PII82 PIX82:PIY82 PJN82:PJO82 PKD82:PKE82 PKT82:PKU82 PLJ82:PLK82 PLZ82:PMA82 PMP82:PMQ82 PNF82:PNG82 PNV82:PNW82 POL82:POM82 PPB82:PPC82 PPR82:PPS82 PQH82:PQI82 PQX82:PQY82 PRN82:PRO82 PSD82:PSE82 PST82:PSU82 PTJ82:PTK82 PTZ82:PUA82 PUP82:PUQ82 PVF82:PVG82 PVV82:PVW82 PWL82:PWM82 PXB82:PXC82 PXR82:PXS82 PYH82:PYI82 PYX82:PYY82 PZN82:PZO82 QAD82:QAE82 QAT82:QAU82 QBJ82:QBK82 QBZ82:QCA82 QCP82:QCQ82 QDF82:QDG82 QDV82:QDW82 QEL82:QEM82 QFB82:QFC82 QFR82:QFS82 QGH82:QGI82 QGX82:QGY82 QHN82:QHO82 QID82:QIE82 QIT82:QIU82 QJJ82:QJK82 QJZ82:QKA82 QKP82:QKQ82 QLF82:QLG82 QLV82:QLW82 QML82:QMM82 QNB82:QNC82 QNR82:QNS82 QOH82:QOI82 QOX82:QOY82 QPN82:QPO82 QQD82:QQE82 QQT82:QQU82 QRJ82:QRK82 QRZ82:QSA82 QSP82:QSQ82 QTF82:QTG82 QTV82:QTW82 QUL82:QUM82 QVB82:QVC82 QVR82:QVS82 QWH82:QWI82 QWX82:QWY82 QXN82:QXO82 QYD82:QYE82 QYT82:QYU82 QZJ82:QZK82 QZZ82:RAA82 RAP82:RAQ82 RBF82:RBG82 RBV82:RBW82 RCL82:RCM82 RDB82:RDC82 RDR82:RDS82 REH82:REI82 REX82:REY82 RFN82:RFO82 RGD82:RGE82 RGT82:RGU82 RHJ82:RHK82 RHZ82:RIA82 RIP82:RIQ82 RJF82:RJG82 RJV82:RJW82 RKL82:RKM82 RLB82:RLC82 RLR82:RLS82 RMH82:RMI82 RMX82:RMY82 RNN82:RNO82 ROD82:ROE82 ROT82:ROU82 RPJ82:RPK82 RPZ82:RQA82 RQP82:RQQ82 RRF82:RRG82 RRV82:RRW82 RSL82:RSM82 RTB82:RTC82 RTR82:RTS82 RUH82:RUI82 RUX82:RUY82 RVN82:RVO82 RWD82:RWE82 RWT82:RWU82 RXJ82:RXK82 RXZ82:RYA82 RYP82:RYQ82 RZF82:RZG82 RZV82:RZW82 SAL82:SAM82 SBB82:SBC82 SBR82:SBS82 SCH82:SCI82 SCX82:SCY82 SDN82:SDO82 SED82:SEE82 SET82:SEU82 SFJ82:SFK82 SFZ82:SGA82 SGP82:SGQ82 SHF82:SHG82 SHV82:SHW82 SIL82:SIM82 SJB82:SJC82 SJR82:SJS82 SKH82:SKI82 SKX82:SKY82 SLN82:SLO82 SMD82:SME82 SMT82:SMU82 SNJ82:SNK82 SNZ82:SOA82 SOP82:SOQ82 SPF82:SPG82 SPV82:SPW82 SQL82:SQM82 SRB82:SRC82 SRR82:SRS82 SSH82:SSI82 SSX82:SSY82 STN82:STO82 SUD82:SUE82 SUT82:SUU82 SVJ82:SVK82 SVZ82:SWA82 SWP82:SWQ82 SXF82:SXG82 SXV82:SXW82 SYL82:SYM82 SZB82:SZC82 SZR82:SZS82 TAH82:TAI82 TAX82:TAY82 TBN82:TBO82 TCD82:TCE82 TCT82:TCU82 TDJ82:TDK82 TDZ82:TEA82 TEP82:TEQ82 TFF82:TFG82 TFV82:TFW82 TGL82:TGM82 THB82:THC82 THR82:THS82 TIH82:TII82 TIX82:TIY82 TJN82:TJO82 TKD82:TKE82 TKT82:TKU82 TLJ82:TLK82 TLZ82:TMA82 TMP82:TMQ82 TNF82:TNG82 TNV82:TNW82 TOL82:TOM82 TPB82:TPC82 TPR82:TPS82 TQH82:TQI82 TQX82:TQY82 TRN82:TRO82 TSD82:TSE82 TST82:TSU82 TTJ82:TTK82 TTZ82:TUA82 TUP82:TUQ82 TVF82:TVG82 TVV82:TVW82 TWL82:TWM82 TXB82:TXC82 TXR82:TXS82 TYH82:TYI82 TYX82:TYY82 TZN82:TZO82 UAD82:UAE82 UAT82:UAU82 UBJ82:UBK82 UBZ82:UCA82 UCP82:UCQ82 UDF82:UDG82 UDV82:UDW82 UEL82:UEM82 UFB82:UFC82 UFR82:UFS82 UGH82:UGI82 UGX82:UGY82 UHN82:UHO82 UID82:UIE82 UIT82:UIU82 UJJ82:UJK82 UJZ82:UKA82 UKP82:UKQ82 ULF82:ULG82 ULV82:ULW82 UML82:UMM82 UNB82:UNC82 UNR82:UNS82 UOH82:UOI82 UOX82:UOY82 UPN82:UPO82 UQD82:UQE82 UQT82:UQU82 URJ82:URK82 URZ82:USA82 USP82:USQ82 UTF82:UTG82 UTV82:UTW82 UUL82:UUM82 UVB82:UVC82 UVR82:UVS82 UWH82:UWI82 UWX82:UWY82 UXN82:UXO82 UYD82:UYE82 UYT82:UYU82 UZJ82:UZK82 UZZ82:VAA82 VAP82:VAQ82 VBF82:VBG82 VBV82:VBW82 VCL82:VCM82 VDB82:VDC82 VDR82:VDS82 VEH82:VEI82 VEX82:VEY82 VFN82:VFO82 VGD82:VGE82 VGT82:VGU82 VHJ82:VHK82 VHZ82:VIA82 VIP82:VIQ82 VJF82:VJG82 VJV82:VJW82 VKL82:VKM82 VLB82:VLC82 VLR82:VLS82 VMH82:VMI82 VMX82:VMY82 VNN82:VNO82 VOD82:VOE82 VOT82:VOU82 VPJ82:VPK82 VPZ82:VQA82 VQP82:VQQ82 VRF82:VRG82 VRV82:VRW82 VSL82:VSM82 VTB82:VTC82 VTR82:VTS82 VUH82:VUI82 VUX82:VUY82 VVN82:VVO82 VWD82:VWE82 VWT82:VWU82 VXJ82:VXK82 VXZ82:VYA82 VYP82:VYQ82 VZF82:VZG82 VZV82:VZW82 WAL82:WAM82 WBB82:WBC82 WBR82:WBS82 WCH82:WCI82 WCX82:WCY82 WDN82:WDO82 WED82:WEE82 WET82:WEU82 WFJ82:WFK82 WFZ82:WGA82 WGP82:WGQ82 WHF82:WHG82 WHV82:WHW82 WIL82:WIM82 WJB82:WJC82 WJR82:WJS82 WKH82:WKI82 WKX82:WKY82 WLN82:WLO82 WMD82:WME82 WMT82:WMU82 WNJ82:WNK82 WNZ82:WOA82 WOP82:WOQ82 WPF82:WPG82 WPV82:WPW82 WQL82:WQM82 WRB82:WRC82 WRR82:WRS82 WSH82:WSI82 WSX82:WSY82 WTN82:WTO82 WUD82:WUE82 WUT82:WUU82 WVJ82:WVK82 WVZ82:WWA82 WWP82:WWQ82 WXF82:WXG82 WXV82:WXW82 WYL82:WYM82 WZB82:WZC82 WZR82:WZS82 XAH82:XAI82 XAX82:XAY82 XBN82:XBO82 XCD82:XCE82 XCT82:XCU82 XDJ82:XDK82 XDZ82:XEA82 XEP82:XEQ82 E233:E240 E646:E647 E689:E690 B5:B7 G960:G980 D981:I986 D948:I959 D35:I52 D5:I7 D2:I2 E837:E849 A3:A34 E139:E153 E832:E834 A981:B986 E1003:E1004">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8:E8 D60:D68 D129 E135:E138 D189:D190 D166:D175 D156:D160 D214:D226 E328 D381:E385 D388:D416 D458:D474 D695:D696 D694:E694 E691 E644:E645 D277 D777 D784:D790 D689:D691 D794:E802 D608:D609 E850:E853 D617:D640 D905:E907 D918 D921 D947 D992:D994 D999 D1002:D1004 D900:D904 D864:D882 D327:D328 D316:D317 D198:D205 D78:D81 D109:D122 D183 D644:D647 D807:E807 D829:E829 D330:D372 D135:D154 D832:D834 D837:D862">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la orden (Formato AAAA/MM/DD)." sqref="D9:E12 D123:E126 D191:E192 D193 D329:E329 D373:E380 D386:E387 D417:E457 D641:E643 D692:E693 D697:E697 D791:E793 D778:E779 D830:E831 D835:E836 D803:E806 D960:E968 D863:E863 D908:E917 D919:E919 D921:E921 D941:E946 D987:E991 E1000:E1002 D1000:D1001 D308:E315 D318:E326 D197:E197 E193:E196 D227:E232 D257:E260 D241:E249 D648:E688 D969:D980 D475:E607 D1005:E1014 D736:E736">
      <formula1>1900/1/1</formula1>
      <formula2>3000/1/1</formula2>
    </dataValidation>
  </dataValidations>
  <hyperlinks>
    <hyperlink ref="H1008" r:id="rId1" display="https://colombiacompra.coupahost.com/suppliers/show/938"/>
  </hyperlinks>
  <pageMargins left="0.7" right="0.7" top="0.75" bottom="0.75" header="0.3" footer="0.3"/>
  <pageSetup orientation="portrait" horizontalDpi="4294967293"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sqref="A1:P12"/>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104</v>
      </c>
      <c r="C2" s="11" t="s">
        <v>105</v>
      </c>
      <c r="D2" s="12">
        <v>44077</v>
      </c>
      <c r="E2" s="12">
        <v>44077</v>
      </c>
      <c r="F2" s="26">
        <v>145878411</v>
      </c>
      <c r="G2" s="27">
        <v>0</v>
      </c>
      <c r="H2" s="9" t="s">
        <v>106</v>
      </c>
      <c r="I2" s="15">
        <v>830053669</v>
      </c>
      <c r="J2" s="16" t="s">
        <v>107</v>
      </c>
      <c r="K2" s="17">
        <v>75</v>
      </c>
      <c r="L2" s="18" t="s">
        <v>21</v>
      </c>
      <c r="M2" s="19">
        <f>1619492+15000</f>
        <v>1634492</v>
      </c>
      <c r="N2" s="19">
        <f t="shared" ref="N2:N3" si="0">M2*0.19</f>
        <v>310553.48</v>
      </c>
      <c r="O2" s="19">
        <f t="shared" ref="O2:O12" si="1">K2*(M2+N2)</f>
        <v>145878411</v>
      </c>
      <c r="P2" s="17" t="s">
        <v>1751</v>
      </c>
    </row>
    <row r="3" spans="1:16" x14ac:dyDescent="0.3">
      <c r="A3" s="9" t="s">
        <v>16</v>
      </c>
      <c r="B3" s="10" t="s">
        <v>125</v>
      </c>
      <c r="C3" s="11" t="s">
        <v>126</v>
      </c>
      <c r="D3" s="12">
        <v>44189</v>
      </c>
      <c r="E3" s="12">
        <v>44554</v>
      </c>
      <c r="F3" s="26">
        <v>97199676</v>
      </c>
      <c r="G3" s="22">
        <v>0</v>
      </c>
      <c r="H3" s="9" t="s">
        <v>106</v>
      </c>
      <c r="I3" s="15">
        <v>900564459</v>
      </c>
      <c r="J3" s="16" t="s">
        <v>127</v>
      </c>
      <c r="K3" s="17">
        <v>54</v>
      </c>
      <c r="L3" s="18" t="s">
        <v>21</v>
      </c>
      <c r="M3" s="19">
        <f>1498000+14600</f>
        <v>1512600</v>
      </c>
      <c r="N3" s="19">
        <f t="shared" si="0"/>
        <v>287394</v>
      </c>
      <c r="O3" s="19">
        <f t="shared" si="1"/>
        <v>97199676</v>
      </c>
      <c r="P3" s="17" t="s">
        <v>1751</v>
      </c>
    </row>
    <row r="4" spans="1:16" x14ac:dyDescent="0.3">
      <c r="A4" s="9" t="s">
        <v>196</v>
      </c>
      <c r="B4" s="10" t="s">
        <v>1985</v>
      </c>
      <c r="C4" s="11" t="s">
        <v>245</v>
      </c>
      <c r="D4" s="12">
        <v>44034</v>
      </c>
      <c r="E4" s="12">
        <v>44034</v>
      </c>
      <c r="F4" s="13">
        <v>15913335</v>
      </c>
      <c r="G4" s="14">
        <v>0</v>
      </c>
      <c r="H4" s="9" t="s">
        <v>246</v>
      </c>
      <c r="I4" s="15">
        <v>9005644591</v>
      </c>
      <c r="J4" s="16" t="s">
        <v>247</v>
      </c>
      <c r="K4" s="17">
        <v>50</v>
      </c>
      <c r="L4" s="18" t="s">
        <v>21</v>
      </c>
      <c r="M4" s="19">
        <v>267451.26050420169</v>
      </c>
      <c r="N4" s="19">
        <f>M4*0.19</f>
        <v>50815.73949579832</v>
      </c>
      <c r="O4" s="19">
        <f t="shared" si="1"/>
        <v>15913350</v>
      </c>
      <c r="P4" s="17" t="s">
        <v>1751</v>
      </c>
    </row>
    <row r="5" spans="1:16" x14ac:dyDescent="0.3">
      <c r="A5" s="9" t="s">
        <v>284</v>
      </c>
      <c r="B5" s="10" t="s">
        <v>395</v>
      </c>
      <c r="C5" s="11" t="s">
        <v>1783</v>
      </c>
      <c r="D5" s="12">
        <v>44077</v>
      </c>
      <c r="E5" s="12">
        <v>44077</v>
      </c>
      <c r="F5" s="13">
        <v>845880991</v>
      </c>
      <c r="G5" s="14">
        <v>0</v>
      </c>
      <c r="H5" s="9" t="s">
        <v>1944</v>
      </c>
      <c r="I5" s="15">
        <v>900564459</v>
      </c>
      <c r="J5" s="16" t="s">
        <v>1859</v>
      </c>
      <c r="K5" s="17">
        <v>207</v>
      </c>
      <c r="L5" s="18" t="s">
        <v>21</v>
      </c>
      <c r="M5" s="19">
        <v>1991416</v>
      </c>
      <c r="N5" s="19">
        <f t="shared" ref="N5:N11" si="2">M5*0.19</f>
        <v>378369.04</v>
      </c>
      <c r="O5" s="19">
        <f t="shared" si="1"/>
        <v>490545503.28000003</v>
      </c>
      <c r="P5" s="17" t="s">
        <v>1751</v>
      </c>
    </row>
    <row r="6" spans="1:16" x14ac:dyDescent="0.3">
      <c r="A6" s="9" t="s">
        <v>284</v>
      </c>
      <c r="B6" s="10" t="s">
        <v>395</v>
      </c>
      <c r="C6" s="11" t="s">
        <v>1783</v>
      </c>
      <c r="D6" s="12">
        <v>44077</v>
      </c>
      <c r="E6" s="12">
        <v>44077</v>
      </c>
      <c r="F6" s="13">
        <v>845880991</v>
      </c>
      <c r="G6" s="14">
        <v>0</v>
      </c>
      <c r="H6" s="9" t="s">
        <v>1944</v>
      </c>
      <c r="I6" s="15">
        <v>900564459</v>
      </c>
      <c r="J6" s="16" t="s">
        <v>1860</v>
      </c>
      <c r="K6" s="17">
        <v>150</v>
      </c>
      <c r="L6" s="18" t="s">
        <v>21</v>
      </c>
      <c r="M6" s="19">
        <v>1990675</v>
      </c>
      <c r="N6" s="19">
        <f t="shared" si="2"/>
        <v>378228.25</v>
      </c>
      <c r="O6" s="19">
        <f t="shared" si="1"/>
        <v>355335487.5</v>
      </c>
      <c r="P6" s="17" t="s">
        <v>1751</v>
      </c>
    </row>
    <row r="7" spans="1:16" x14ac:dyDescent="0.3">
      <c r="A7" s="9" t="s">
        <v>558</v>
      </c>
      <c r="B7" s="10" t="s">
        <v>2017</v>
      </c>
      <c r="C7" s="28" t="s">
        <v>629</v>
      </c>
      <c r="D7" s="12">
        <v>44074</v>
      </c>
      <c r="E7" s="12">
        <v>44074</v>
      </c>
      <c r="F7" s="13">
        <v>429895830</v>
      </c>
      <c r="G7" s="14">
        <v>0</v>
      </c>
      <c r="H7" s="9" t="s">
        <v>106</v>
      </c>
      <c r="I7" s="15">
        <v>900564459</v>
      </c>
      <c r="J7" s="16" t="s">
        <v>1965</v>
      </c>
      <c r="K7" s="17">
        <v>185</v>
      </c>
      <c r="L7" s="18" t="s">
        <v>21</v>
      </c>
      <c r="M7" s="19">
        <v>1875000</v>
      </c>
      <c r="N7" s="19">
        <f t="shared" si="2"/>
        <v>356250</v>
      </c>
      <c r="O7" s="19">
        <f t="shared" si="1"/>
        <v>412781250</v>
      </c>
      <c r="P7" s="17" t="s">
        <v>1751</v>
      </c>
    </row>
    <row r="8" spans="1:16" x14ac:dyDescent="0.3">
      <c r="A8" s="33" t="s">
        <v>690</v>
      </c>
      <c r="B8" s="33" t="s">
        <v>787</v>
      </c>
      <c r="C8" s="33" t="s">
        <v>1801</v>
      </c>
      <c r="D8" s="34">
        <v>44074</v>
      </c>
      <c r="E8" s="34">
        <v>44074</v>
      </c>
      <c r="F8" s="35">
        <v>80714451</v>
      </c>
      <c r="G8" s="14">
        <v>0</v>
      </c>
      <c r="H8" s="33" t="s">
        <v>106</v>
      </c>
      <c r="I8" s="36">
        <v>900564459</v>
      </c>
      <c r="J8" s="33" t="s">
        <v>1801</v>
      </c>
      <c r="K8" s="17">
        <v>35</v>
      </c>
      <c r="L8" s="37" t="s">
        <v>21</v>
      </c>
      <c r="M8" s="19">
        <f>1793574+15000+129348</f>
        <v>1937922</v>
      </c>
      <c r="N8" s="19">
        <f t="shared" si="2"/>
        <v>368205.18</v>
      </c>
      <c r="O8" s="19">
        <f t="shared" si="1"/>
        <v>80714451.300000012</v>
      </c>
      <c r="P8" s="17" t="s">
        <v>1751</v>
      </c>
    </row>
    <row r="9" spans="1:16" x14ac:dyDescent="0.3">
      <c r="A9" s="33" t="s">
        <v>690</v>
      </c>
      <c r="B9" s="33" t="s">
        <v>792</v>
      </c>
      <c r="C9" s="33" t="s">
        <v>1803</v>
      </c>
      <c r="D9" s="34">
        <v>44166</v>
      </c>
      <c r="E9" s="34">
        <v>44168</v>
      </c>
      <c r="F9" s="35">
        <v>124716230</v>
      </c>
      <c r="G9" s="35">
        <v>50862790</v>
      </c>
      <c r="H9" s="33" t="s">
        <v>106</v>
      </c>
      <c r="I9" s="36">
        <v>900564459</v>
      </c>
      <c r="J9" s="33" t="s">
        <v>1865</v>
      </c>
      <c r="K9" s="17">
        <v>70</v>
      </c>
      <c r="L9" s="37" t="s">
        <v>21</v>
      </c>
      <c r="M9" s="19">
        <f>1409728+15000</f>
        <v>1424728</v>
      </c>
      <c r="N9" s="19">
        <f t="shared" si="2"/>
        <v>270698.32</v>
      </c>
      <c r="O9" s="19">
        <f t="shared" si="1"/>
        <v>118679842.40000001</v>
      </c>
      <c r="P9" s="17" t="s">
        <v>1751</v>
      </c>
    </row>
    <row r="10" spans="1:16" x14ac:dyDescent="0.3">
      <c r="A10" s="33" t="s">
        <v>690</v>
      </c>
      <c r="B10" s="33" t="s">
        <v>792</v>
      </c>
      <c r="C10" s="33" t="s">
        <v>1803</v>
      </c>
      <c r="D10" s="34">
        <v>44166</v>
      </c>
      <c r="E10" s="34">
        <v>44168</v>
      </c>
      <c r="F10" s="35">
        <v>124716230</v>
      </c>
      <c r="G10" s="14">
        <v>0</v>
      </c>
      <c r="H10" s="33" t="s">
        <v>106</v>
      </c>
      <c r="I10" s="36">
        <v>900564459</v>
      </c>
      <c r="J10" s="33" t="s">
        <v>1866</v>
      </c>
      <c r="K10" s="17">
        <v>15</v>
      </c>
      <c r="L10" s="37" t="s">
        <v>21</v>
      </c>
      <c r="M10" s="19">
        <f>323173+15000</f>
        <v>338173</v>
      </c>
      <c r="N10" s="19">
        <f t="shared" si="2"/>
        <v>64252.87</v>
      </c>
      <c r="O10" s="19">
        <f t="shared" si="1"/>
        <v>6036388.0499999998</v>
      </c>
      <c r="P10" s="17" t="s">
        <v>1751</v>
      </c>
    </row>
    <row r="11" spans="1:16" x14ac:dyDescent="0.3">
      <c r="A11" s="9" t="s">
        <v>1291</v>
      </c>
      <c r="B11" s="10">
        <v>61519</v>
      </c>
      <c r="C11" s="11" t="s">
        <v>2185</v>
      </c>
      <c r="D11" s="12">
        <v>44176</v>
      </c>
      <c r="E11" s="12">
        <v>44176</v>
      </c>
      <c r="F11" s="13">
        <v>179714276</v>
      </c>
      <c r="G11" s="14">
        <v>0</v>
      </c>
      <c r="H11" s="9" t="s">
        <v>106</v>
      </c>
      <c r="I11" s="15">
        <v>900564459</v>
      </c>
      <c r="J11" s="16" t="s">
        <v>2186</v>
      </c>
      <c r="K11" s="17">
        <v>94</v>
      </c>
      <c r="L11" s="18" t="s">
        <v>21</v>
      </c>
      <c r="M11" s="19">
        <f>1462100+129500+15000</f>
        <v>1606600</v>
      </c>
      <c r="N11" s="19">
        <f t="shared" si="2"/>
        <v>305254</v>
      </c>
      <c r="O11" s="19">
        <f t="shared" si="1"/>
        <v>179714276</v>
      </c>
      <c r="P11" s="17" t="s">
        <v>1751</v>
      </c>
    </row>
    <row r="12" spans="1:16" x14ac:dyDescent="0.3">
      <c r="A12" s="9" t="s">
        <v>1306</v>
      </c>
      <c r="B12" s="10" t="s">
        <v>1393</v>
      </c>
      <c r="C12" s="11" t="s">
        <v>1394</v>
      </c>
      <c r="D12" s="12">
        <v>44085</v>
      </c>
      <c r="E12" s="12">
        <v>44085</v>
      </c>
      <c r="F12" s="13">
        <v>31611816</v>
      </c>
      <c r="G12" s="14">
        <v>0</v>
      </c>
      <c r="H12" s="9" t="s">
        <v>1395</v>
      </c>
      <c r="I12" s="15" t="s">
        <v>1396</v>
      </c>
      <c r="J12" s="16" t="s">
        <v>1919</v>
      </c>
      <c r="K12" s="17">
        <v>13</v>
      </c>
      <c r="L12" s="18" t="s">
        <v>21</v>
      </c>
      <c r="M12" s="19">
        <f>1899079+129348+15000</f>
        <v>2043427</v>
      </c>
      <c r="N12" s="19">
        <f>M12*0.19</f>
        <v>388251.13</v>
      </c>
      <c r="O12" s="19">
        <f t="shared" si="1"/>
        <v>31611815.689999998</v>
      </c>
      <c r="P12" s="17" t="s">
        <v>1751</v>
      </c>
    </row>
  </sheetData>
  <dataValidations count="10">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A3 E4:E6 E8:E1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4:F6 F8:F1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5:A11">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4:I1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4:H1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7:E7">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7 F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5:D6 D8:D1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5:B6 B8:B10">
      <formula1>0</formula1>
      <formula2>390</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sqref="A1:P15"/>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1981</v>
      </c>
      <c r="C2" s="11" t="s">
        <v>18</v>
      </c>
      <c r="D2" s="12">
        <v>43910</v>
      </c>
      <c r="E2" s="12">
        <v>43910</v>
      </c>
      <c r="F2" s="13">
        <v>2573970</v>
      </c>
      <c r="G2" s="14">
        <v>0</v>
      </c>
      <c r="H2" s="9" t="s">
        <v>19</v>
      </c>
      <c r="I2" s="15">
        <v>901095058</v>
      </c>
      <c r="J2" s="16" t="s">
        <v>26</v>
      </c>
      <c r="K2" s="17">
        <v>50</v>
      </c>
      <c r="L2" s="18" t="s">
        <v>21</v>
      </c>
      <c r="M2" s="19">
        <v>10300</v>
      </c>
      <c r="N2" s="19">
        <f t="shared" ref="N2" si="0">M2*0.19</f>
        <v>1957</v>
      </c>
      <c r="O2" s="19">
        <f t="shared" ref="O2:O15" si="1">K2*(M2+N2)</f>
        <v>612850</v>
      </c>
      <c r="P2" s="17" t="s">
        <v>412</v>
      </c>
    </row>
    <row r="3" spans="1:16" x14ac:dyDescent="0.3">
      <c r="A3" s="9" t="s">
        <v>196</v>
      </c>
      <c r="B3" s="10" t="s">
        <v>181</v>
      </c>
      <c r="C3" s="11" t="s">
        <v>230</v>
      </c>
      <c r="D3" s="12">
        <v>43978</v>
      </c>
      <c r="E3" s="12">
        <v>43980</v>
      </c>
      <c r="F3" s="13">
        <v>418175000</v>
      </c>
      <c r="G3" s="14">
        <v>0</v>
      </c>
      <c r="H3" s="9" t="s">
        <v>231</v>
      </c>
      <c r="I3" s="15">
        <v>900053297</v>
      </c>
      <c r="J3" s="16" t="s">
        <v>233</v>
      </c>
      <c r="K3" s="17">
        <v>1000</v>
      </c>
      <c r="L3" s="18" t="s">
        <v>21</v>
      </c>
      <c r="M3" s="19">
        <v>19900</v>
      </c>
      <c r="N3" s="19">
        <v>0</v>
      </c>
      <c r="O3" s="19">
        <f t="shared" si="1"/>
        <v>19900000</v>
      </c>
      <c r="P3" s="17" t="s">
        <v>412</v>
      </c>
    </row>
    <row r="4" spans="1:16" x14ac:dyDescent="0.3">
      <c r="A4" s="9" t="s">
        <v>284</v>
      </c>
      <c r="B4" s="10" t="s">
        <v>285</v>
      </c>
      <c r="C4" s="11" t="s">
        <v>286</v>
      </c>
      <c r="D4" s="12">
        <v>43907</v>
      </c>
      <c r="E4" s="12">
        <v>43908</v>
      </c>
      <c r="F4" s="13">
        <v>25281431</v>
      </c>
      <c r="G4" s="14">
        <v>0</v>
      </c>
      <c r="H4" s="9" t="s">
        <v>19</v>
      </c>
      <c r="I4" s="15">
        <v>901095058</v>
      </c>
      <c r="J4" s="16" t="s">
        <v>288</v>
      </c>
      <c r="K4" s="17">
        <v>70</v>
      </c>
      <c r="L4" s="18" t="s">
        <v>21</v>
      </c>
      <c r="M4" s="19">
        <v>7000</v>
      </c>
      <c r="N4" s="19">
        <f t="shared" ref="N4:N5" si="2">M4*0.19</f>
        <v>1330</v>
      </c>
      <c r="O4" s="19">
        <f t="shared" si="1"/>
        <v>583100</v>
      </c>
      <c r="P4" s="17" t="s">
        <v>412</v>
      </c>
    </row>
    <row r="5" spans="1:16" x14ac:dyDescent="0.3">
      <c r="A5" s="9" t="s">
        <v>402</v>
      </c>
      <c r="B5" s="10" t="s">
        <v>408</v>
      </c>
      <c r="C5" s="11" t="s">
        <v>409</v>
      </c>
      <c r="D5" s="12">
        <v>43916</v>
      </c>
      <c r="E5" s="12">
        <v>43917</v>
      </c>
      <c r="F5" s="13">
        <v>21397390</v>
      </c>
      <c r="G5" s="14">
        <v>0</v>
      </c>
      <c r="H5" s="9" t="s">
        <v>410</v>
      </c>
      <c r="I5" s="15">
        <v>901165706</v>
      </c>
      <c r="J5" s="16" t="s">
        <v>411</v>
      </c>
      <c r="K5" s="17">
        <v>100</v>
      </c>
      <c r="L5" s="18" t="s">
        <v>21</v>
      </c>
      <c r="M5" s="19">
        <v>13500</v>
      </c>
      <c r="N5" s="19">
        <f t="shared" si="2"/>
        <v>2565</v>
      </c>
      <c r="O5" s="19">
        <f t="shared" si="1"/>
        <v>1606500</v>
      </c>
      <c r="P5" s="17" t="s">
        <v>412</v>
      </c>
    </row>
    <row r="6" spans="1:16" x14ac:dyDescent="0.3">
      <c r="A6" s="9" t="s">
        <v>861</v>
      </c>
      <c r="B6" s="10" t="s">
        <v>914</v>
      </c>
      <c r="C6" s="11" t="s">
        <v>915</v>
      </c>
      <c r="D6" s="12">
        <v>43986</v>
      </c>
      <c r="E6" s="12">
        <v>43986</v>
      </c>
      <c r="F6" s="13">
        <v>39927000</v>
      </c>
      <c r="G6" s="14">
        <v>0</v>
      </c>
      <c r="H6" s="9" t="s">
        <v>916</v>
      </c>
      <c r="I6" s="15">
        <v>901031972</v>
      </c>
      <c r="J6" s="16" t="s">
        <v>919</v>
      </c>
      <c r="K6" s="17">
        <v>300</v>
      </c>
      <c r="L6" s="18" t="s">
        <v>21</v>
      </c>
      <c r="M6" s="19">
        <v>10000</v>
      </c>
      <c r="N6" s="19">
        <v>0</v>
      </c>
      <c r="O6" s="19">
        <f t="shared" si="1"/>
        <v>3000000</v>
      </c>
      <c r="P6" s="17" t="s">
        <v>412</v>
      </c>
    </row>
    <row r="7" spans="1:16" x14ac:dyDescent="0.3">
      <c r="A7" s="9" t="s">
        <v>861</v>
      </c>
      <c r="B7" s="10" t="s">
        <v>945</v>
      </c>
      <c r="C7" s="11" t="s">
        <v>946</v>
      </c>
      <c r="D7" s="12">
        <v>44078</v>
      </c>
      <c r="E7" s="12">
        <v>44083</v>
      </c>
      <c r="F7" s="13">
        <v>2344500</v>
      </c>
      <c r="G7" s="14">
        <v>0</v>
      </c>
      <c r="H7" s="9" t="s">
        <v>947</v>
      </c>
      <c r="I7" s="15" t="s">
        <v>948</v>
      </c>
      <c r="J7" s="16" t="s">
        <v>949</v>
      </c>
      <c r="K7" s="17">
        <f>33*12</f>
        <v>396</v>
      </c>
      <c r="L7" s="18" t="s">
        <v>21</v>
      </c>
      <c r="M7" s="19">
        <f>56500/12</f>
        <v>4708.333333333333</v>
      </c>
      <c r="N7" s="19">
        <v>0</v>
      </c>
      <c r="O7" s="19">
        <f t="shared" si="1"/>
        <v>1864499.9999999998</v>
      </c>
      <c r="P7" s="17" t="s">
        <v>412</v>
      </c>
    </row>
    <row r="8" spans="1:16" x14ac:dyDescent="0.3">
      <c r="A8" s="9" t="s">
        <v>1006</v>
      </c>
      <c r="B8" s="10" t="s">
        <v>1021</v>
      </c>
      <c r="C8" s="11" t="s">
        <v>1022</v>
      </c>
      <c r="D8" s="12">
        <v>43971</v>
      </c>
      <c r="E8" s="12">
        <v>43978</v>
      </c>
      <c r="F8" s="13">
        <v>38340000</v>
      </c>
      <c r="G8" s="14">
        <v>0</v>
      </c>
      <c r="H8" s="9" t="s">
        <v>1009</v>
      </c>
      <c r="I8" s="15">
        <v>813005241</v>
      </c>
      <c r="J8" s="16" t="s">
        <v>1885</v>
      </c>
      <c r="K8" s="17">
        <v>600</v>
      </c>
      <c r="L8" s="18" t="s">
        <v>21</v>
      </c>
      <c r="M8" s="19">
        <v>7000</v>
      </c>
      <c r="N8" s="19">
        <v>0</v>
      </c>
      <c r="O8" s="19">
        <f t="shared" si="1"/>
        <v>4200000</v>
      </c>
      <c r="P8" s="17" t="s">
        <v>412</v>
      </c>
    </row>
    <row r="9" spans="1:16" x14ac:dyDescent="0.3">
      <c r="A9" s="9" t="s">
        <v>1050</v>
      </c>
      <c r="B9" s="10" t="s">
        <v>1067</v>
      </c>
      <c r="C9" s="11" t="s">
        <v>1068</v>
      </c>
      <c r="D9" s="12">
        <v>43949</v>
      </c>
      <c r="E9" s="12">
        <v>43949</v>
      </c>
      <c r="F9" s="13">
        <v>2832200</v>
      </c>
      <c r="G9" s="14">
        <v>0</v>
      </c>
      <c r="H9" s="9" t="s">
        <v>1069</v>
      </c>
      <c r="I9" s="15">
        <v>830037946</v>
      </c>
      <c r="J9" s="16" t="s">
        <v>1070</v>
      </c>
      <c r="K9" s="17">
        <v>200</v>
      </c>
      <c r="L9" s="18" t="s">
        <v>21</v>
      </c>
      <c r="M9" s="19">
        <v>14161</v>
      </c>
      <c r="N9" s="19">
        <v>0</v>
      </c>
      <c r="O9" s="19">
        <f t="shared" si="1"/>
        <v>2832200</v>
      </c>
      <c r="P9" s="17" t="s">
        <v>412</v>
      </c>
    </row>
    <row r="10" spans="1:16" x14ac:dyDescent="0.3">
      <c r="A10" s="9" t="s">
        <v>1091</v>
      </c>
      <c r="B10" s="10" t="s">
        <v>2047</v>
      </c>
      <c r="C10" s="11" t="s">
        <v>1092</v>
      </c>
      <c r="D10" s="12">
        <v>43922</v>
      </c>
      <c r="E10" s="12">
        <v>43923</v>
      </c>
      <c r="F10" s="13">
        <v>36816642</v>
      </c>
      <c r="G10" s="14">
        <v>0</v>
      </c>
      <c r="H10" s="9" t="s">
        <v>1093</v>
      </c>
      <c r="I10" s="15">
        <v>860054854</v>
      </c>
      <c r="J10" s="16" t="s">
        <v>1906</v>
      </c>
      <c r="K10" s="17">
        <v>22</v>
      </c>
      <c r="L10" s="18" t="s">
        <v>21</v>
      </c>
      <c r="M10" s="19">
        <v>36236</v>
      </c>
      <c r="N10" s="19">
        <v>0</v>
      </c>
      <c r="O10" s="19">
        <f t="shared" si="1"/>
        <v>797192</v>
      </c>
      <c r="P10" s="17" t="s">
        <v>412</v>
      </c>
    </row>
    <row r="11" spans="1:16" x14ac:dyDescent="0.3">
      <c r="A11" s="9" t="s">
        <v>1306</v>
      </c>
      <c r="B11" s="10" t="s">
        <v>1346</v>
      </c>
      <c r="C11" s="11" t="s">
        <v>1339</v>
      </c>
      <c r="D11" s="12">
        <v>43924</v>
      </c>
      <c r="E11" s="12">
        <v>43925</v>
      </c>
      <c r="F11" s="13">
        <v>3050000</v>
      </c>
      <c r="G11" s="14">
        <v>0</v>
      </c>
      <c r="H11" s="9" t="s">
        <v>1347</v>
      </c>
      <c r="I11" s="15">
        <v>901285199</v>
      </c>
      <c r="J11" s="16" t="s">
        <v>1349</v>
      </c>
      <c r="K11" s="17">
        <v>100</v>
      </c>
      <c r="L11" s="18" t="s">
        <v>21</v>
      </c>
      <c r="M11" s="19">
        <v>10504</v>
      </c>
      <c r="N11" s="19">
        <f t="shared" ref="N11" si="3">M11*0.19</f>
        <v>1995.76</v>
      </c>
      <c r="O11" s="19">
        <f t="shared" si="1"/>
        <v>1249976</v>
      </c>
      <c r="P11" s="17" t="s">
        <v>412</v>
      </c>
    </row>
    <row r="12" spans="1:16" x14ac:dyDescent="0.3">
      <c r="A12" s="9" t="s">
        <v>1306</v>
      </c>
      <c r="B12" s="10" t="s">
        <v>2064</v>
      </c>
      <c r="C12" s="11" t="s">
        <v>1817</v>
      </c>
      <c r="D12" s="12">
        <v>43984</v>
      </c>
      <c r="E12" s="12">
        <v>43984</v>
      </c>
      <c r="F12" s="13">
        <v>8195650</v>
      </c>
      <c r="G12" s="14">
        <v>0</v>
      </c>
      <c r="H12" s="9" t="s">
        <v>172</v>
      </c>
      <c r="I12" s="15">
        <v>900155107</v>
      </c>
      <c r="J12" s="16" t="s">
        <v>27</v>
      </c>
      <c r="K12" s="17">
        <v>950</v>
      </c>
      <c r="L12" s="18" t="s">
        <v>21</v>
      </c>
      <c r="M12" s="19">
        <v>8627</v>
      </c>
      <c r="N12" s="19">
        <v>0</v>
      </c>
      <c r="O12" s="19">
        <f t="shared" si="1"/>
        <v>8195650</v>
      </c>
      <c r="P12" s="17" t="s">
        <v>412</v>
      </c>
    </row>
    <row r="13" spans="1:16" x14ac:dyDescent="0.3">
      <c r="A13" s="9" t="s">
        <v>1437</v>
      </c>
      <c r="B13" s="10" t="s">
        <v>2070</v>
      </c>
      <c r="C13" s="11" t="s">
        <v>1438</v>
      </c>
      <c r="D13" s="12">
        <v>43477</v>
      </c>
      <c r="E13" s="12">
        <v>43800</v>
      </c>
      <c r="F13" s="13">
        <v>0</v>
      </c>
      <c r="G13" s="14">
        <v>67434392</v>
      </c>
      <c r="H13" s="9" t="s">
        <v>1439</v>
      </c>
      <c r="I13" s="15">
        <v>811044253</v>
      </c>
      <c r="J13" s="16" t="s">
        <v>1446</v>
      </c>
      <c r="K13" s="17">
        <v>340</v>
      </c>
      <c r="L13" s="18" t="s">
        <v>21</v>
      </c>
      <c r="M13" s="19">
        <v>6300</v>
      </c>
      <c r="N13" s="19">
        <v>0</v>
      </c>
      <c r="O13" s="19">
        <f t="shared" si="1"/>
        <v>2142000</v>
      </c>
      <c r="P13" s="17" t="s">
        <v>412</v>
      </c>
    </row>
    <row r="14" spans="1:16" x14ac:dyDescent="0.3">
      <c r="A14" s="9" t="s">
        <v>1472</v>
      </c>
      <c r="B14" s="10" t="s">
        <v>1486</v>
      </c>
      <c r="C14" s="11" t="s">
        <v>1474</v>
      </c>
      <c r="D14" s="12">
        <v>43937</v>
      </c>
      <c r="E14" s="12">
        <v>43937</v>
      </c>
      <c r="F14" s="13">
        <v>36963400</v>
      </c>
      <c r="G14" s="14">
        <v>0</v>
      </c>
      <c r="H14" s="9" t="s">
        <v>1487</v>
      </c>
      <c r="I14" s="15">
        <v>901008660</v>
      </c>
      <c r="J14" s="16" t="s">
        <v>1488</v>
      </c>
      <c r="K14" s="17">
        <v>200</v>
      </c>
      <c r="L14" s="18" t="s">
        <v>21</v>
      </c>
      <c r="M14" s="19">
        <v>5882</v>
      </c>
      <c r="N14" s="19">
        <v>0</v>
      </c>
      <c r="O14" s="19">
        <f t="shared" si="1"/>
        <v>1176400</v>
      </c>
      <c r="P14" s="17" t="s">
        <v>412</v>
      </c>
    </row>
    <row r="15" spans="1:16" x14ac:dyDescent="0.3">
      <c r="A15" s="9" t="s">
        <v>1692</v>
      </c>
      <c r="B15" s="10" t="s">
        <v>1698</v>
      </c>
      <c r="C15" s="11" t="s">
        <v>1699</v>
      </c>
      <c r="D15" s="12">
        <v>43917</v>
      </c>
      <c r="E15" s="12">
        <v>43917</v>
      </c>
      <c r="F15" s="13">
        <v>3918700</v>
      </c>
      <c r="G15" s="14">
        <v>0</v>
      </c>
      <c r="H15" s="9" t="s">
        <v>1700</v>
      </c>
      <c r="I15" s="15">
        <v>900769393</v>
      </c>
      <c r="J15" s="16" t="s">
        <v>1702</v>
      </c>
      <c r="K15" s="17">
        <v>50</v>
      </c>
      <c r="L15" s="18" t="s">
        <v>21</v>
      </c>
      <c r="M15" s="19">
        <v>7051</v>
      </c>
      <c r="N15" s="19">
        <f t="shared" ref="N15" si="4">M15*0.19</f>
        <v>1339.69</v>
      </c>
      <c r="O15" s="19">
        <f t="shared" si="1"/>
        <v>419534.5</v>
      </c>
      <c r="P15" s="17" t="s">
        <v>412</v>
      </c>
    </row>
  </sheetData>
  <dataValidations count="11">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4:A7 A14">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6:E7 D9:E10 D13:E13">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6">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H4 H6:H8 H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4 B6:B8 B1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6:F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11 D12:E12 D4 D8 D14">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11 A2 E4 E8 E14 D15:I15 A15:B15">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F4 F8 F13: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I4 I8 I14">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4">
      <formula1>-9223372036854770000</formula1>
      <formula2>9223372036854770000</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topLeftCell="I1" workbookViewId="0">
      <selection activeCell="J2" sqref="J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6" t="s">
        <v>10</v>
      </c>
      <c r="L1" s="7" t="s">
        <v>11</v>
      </c>
      <c r="M1" s="8" t="s">
        <v>12</v>
      </c>
      <c r="N1" s="8" t="s">
        <v>13</v>
      </c>
      <c r="O1" s="8" t="s">
        <v>14</v>
      </c>
      <c r="P1" s="8" t="s">
        <v>15</v>
      </c>
    </row>
    <row r="2" spans="1:16" x14ac:dyDescent="0.3">
      <c r="A2" s="9" t="s">
        <v>657</v>
      </c>
      <c r="B2" s="10" t="s">
        <v>670</v>
      </c>
      <c r="C2" s="11" t="s">
        <v>671</v>
      </c>
      <c r="D2" s="12">
        <v>44015</v>
      </c>
      <c r="E2" s="12">
        <v>44018</v>
      </c>
      <c r="F2" s="13">
        <v>201000100</v>
      </c>
      <c r="G2" s="14">
        <v>0</v>
      </c>
      <c r="H2" s="9" t="s">
        <v>660</v>
      </c>
      <c r="I2" s="15">
        <v>813005241</v>
      </c>
      <c r="J2" s="16" t="s">
        <v>1942</v>
      </c>
      <c r="K2" s="17">
        <v>50</v>
      </c>
      <c r="L2" s="18" t="s">
        <v>21</v>
      </c>
      <c r="M2" s="19">
        <v>8000</v>
      </c>
      <c r="N2" s="19">
        <v>0</v>
      </c>
      <c r="O2" s="19">
        <v>400000</v>
      </c>
      <c r="P2" s="17" t="s">
        <v>631</v>
      </c>
    </row>
  </sheetData>
  <dataValidations count="1">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workbookViewId="0">
      <selection sqref="A1:P80"/>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1983</v>
      </c>
      <c r="C2" s="11" t="s">
        <v>33</v>
      </c>
      <c r="D2" s="12">
        <v>43923</v>
      </c>
      <c r="E2" s="12">
        <v>43928</v>
      </c>
      <c r="F2" s="13">
        <v>11804524</v>
      </c>
      <c r="G2" s="14">
        <v>0</v>
      </c>
      <c r="H2" s="9" t="s">
        <v>34</v>
      </c>
      <c r="I2" s="15">
        <v>900742771</v>
      </c>
      <c r="J2" s="16" t="s">
        <v>35</v>
      </c>
      <c r="K2" s="17">
        <v>760</v>
      </c>
      <c r="L2" s="18" t="s">
        <v>36</v>
      </c>
      <c r="M2" s="19">
        <v>11795.263156999999</v>
      </c>
      <c r="N2" s="19">
        <f t="shared" ref="N2:N3" si="0">M2*0.19</f>
        <v>2241.0999998299999</v>
      </c>
      <c r="O2" s="19">
        <f t="shared" ref="O2:O65" si="1">K2*(M2+N2)</f>
        <v>10667635.9991908</v>
      </c>
      <c r="P2" s="17" t="s">
        <v>37</v>
      </c>
    </row>
    <row r="3" spans="1:16" x14ac:dyDescent="0.3">
      <c r="A3" s="9" t="s">
        <v>16</v>
      </c>
      <c r="B3" s="10" t="s">
        <v>59</v>
      </c>
      <c r="C3" s="11" t="s">
        <v>47</v>
      </c>
      <c r="D3" s="12">
        <v>43967</v>
      </c>
      <c r="E3" s="12">
        <v>43967</v>
      </c>
      <c r="F3" s="13">
        <v>12450001</v>
      </c>
      <c r="G3" s="14">
        <v>0</v>
      </c>
      <c r="H3" s="9" t="s">
        <v>60</v>
      </c>
      <c r="I3" s="15">
        <v>830001338</v>
      </c>
      <c r="J3" s="16" t="s">
        <v>35</v>
      </c>
      <c r="K3" s="17">
        <v>1520</v>
      </c>
      <c r="L3" s="18" t="s">
        <v>36</v>
      </c>
      <c r="M3" s="19">
        <v>6883.0169159999996</v>
      </c>
      <c r="N3" s="19">
        <f t="shared" si="0"/>
        <v>1307.7732140399999</v>
      </c>
      <c r="O3" s="19">
        <f t="shared" si="1"/>
        <v>12450000.997660799</v>
      </c>
      <c r="P3" s="17" t="s">
        <v>37</v>
      </c>
    </row>
    <row r="4" spans="1:16" x14ac:dyDescent="0.3">
      <c r="A4" s="9" t="s">
        <v>138</v>
      </c>
      <c r="B4" s="10" t="s">
        <v>162</v>
      </c>
      <c r="C4" s="28" t="s">
        <v>163</v>
      </c>
      <c r="D4" s="12">
        <v>43966</v>
      </c>
      <c r="E4" s="12">
        <v>43966</v>
      </c>
      <c r="F4" s="13">
        <v>11191700</v>
      </c>
      <c r="G4" s="14">
        <v>0</v>
      </c>
      <c r="H4" s="9" t="s">
        <v>164</v>
      </c>
      <c r="I4" s="15">
        <v>80736955</v>
      </c>
      <c r="J4" s="16" t="s">
        <v>165</v>
      </c>
      <c r="K4" s="17">
        <v>500</v>
      </c>
      <c r="L4" s="29" t="s">
        <v>36</v>
      </c>
      <c r="M4" s="19">
        <v>21598</v>
      </c>
      <c r="N4" s="19">
        <v>0</v>
      </c>
      <c r="O4" s="19">
        <f t="shared" si="1"/>
        <v>10799000</v>
      </c>
      <c r="P4" s="21" t="s">
        <v>37</v>
      </c>
    </row>
    <row r="5" spans="1:16" x14ac:dyDescent="0.3">
      <c r="A5" s="9" t="s">
        <v>196</v>
      </c>
      <c r="B5" s="10" t="s">
        <v>203</v>
      </c>
      <c r="C5" s="11" t="s">
        <v>204</v>
      </c>
      <c r="D5" s="12">
        <v>43916</v>
      </c>
      <c r="E5" s="12">
        <v>43920</v>
      </c>
      <c r="F5" s="13">
        <v>219927500</v>
      </c>
      <c r="G5" s="14">
        <v>0</v>
      </c>
      <c r="H5" s="9" t="s">
        <v>205</v>
      </c>
      <c r="I5" s="15">
        <v>900521780</v>
      </c>
      <c r="J5" s="16" t="s">
        <v>37</v>
      </c>
      <c r="K5" s="17">
        <v>750</v>
      </c>
      <c r="L5" s="18" t="s">
        <v>36</v>
      </c>
      <c r="M5" s="19">
        <v>36400</v>
      </c>
      <c r="N5" s="19">
        <v>0</v>
      </c>
      <c r="O5" s="19">
        <f t="shared" si="1"/>
        <v>27300000</v>
      </c>
      <c r="P5" s="17" t="s">
        <v>37</v>
      </c>
    </row>
    <row r="6" spans="1:16" x14ac:dyDescent="0.3">
      <c r="A6" s="9" t="s">
        <v>196</v>
      </c>
      <c r="B6" s="10" t="s">
        <v>181</v>
      </c>
      <c r="C6" s="11" t="s">
        <v>230</v>
      </c>
      <c r="D6" s="12">
        <v>43978</v>
      </c>
      <c r="E6" s="12">
        <v>43980</v>
      </c>
      <c r="F6" s="13">
        <v>418175000</v>
      </c>
      <c r="G6" s="14">
        <v>0</v>
      </c>
      <c r="H6" s="9" t="s">
        <v>231</v>
      </c>
      <c r="I6" s="15">
        <v>900053297</v>
      </c>
      <c r="J6" s="16" t="s">
        <v>236</v>
      </c>
      <c r="K6" s="17">
        <v>1250</v>
      </c>
      <c r="L6" s="18" t="s">
        <v>36</v>
      </c>
      <c r="M6" s="19">
        <v>29800</v>
      </c>
      <c r="N6" s="19">
        <v>0</v>
      </c>
      <c r="O6" s="19">
        <f t="shared" si="1"/>
        <v>37250000</v>
      </c>
      <c r="P6" s="17" t="s">
        <v>37</v>
      </c>
    </row>
    <row r="7" spans="1:16" x14ac:dyDescent="0.3">
      <c r="A7" s="9" t="s">
        <v>196</v>
      </c>
      <c r="B7" s="10" t="s">
        <v>1995</v>
      </c>
      <c r="C7" s="11" t="s">
        <v>1762</v>
      </c>
      <c r="D7" s="12">
        <v>44104</v>
      </c>
      <c r="E7" s="12">
        <v>44104</v>
      </c>
      <c r="F7" s="13">
        <v>78930000</v>
      </c>
      <c r="G7" s="14">
        <v>0</v>
      </c>
      <c r="H7" s="9" t="s">
        <v>267</v>
      </c>
      <c r="I7" s="15">
        <v>805023817</v>
      </c>
      <c r="J7" s="16" t="s">
        <v>1850</v>
      </c>
      <c r="K7" s="17">
        <f>21300/2</f>
        <v>10650</v>
      </c>
      <c r="L7" s="18" t="s">
        <v>36</v>
      </c>
      <c r="M7" s="19">
        <f>3600*2</f>
        <v>7200</v>
      </c>
      <c r="N7" s="19">
        <v>0</v>
      </c>
      <c r="O7" s="19">
        <f t="shared" si="1"/>
        <v>76680000</v>
      </c>
      <c r="P7" s="17" t="s">
        <v>37</v>
      </c>
    </row>
    <row r="8" spans="1:16" x14ac:dyDescent="0.3">
      <c r="A8" s="9" t="s">
        <v>196</v>
      </c>
      <c r="B8" s="10" t="s">
        <v>2007</v>
      </c>
      <c r="C8" s="11" t="s">
        <v>1773</v>
      </c>
      <c r="D8" s="12">
        <v>44167</v>
      </c>
      <c r="E8" s="12">
        <v>44167</v>
      </c>
      <c r="F8" s="13">
        <v>374860000</v>
      </c>
      <c r="G8" s="14">
        <v>0</v>
      </c>
      <c r="H8" s="9" t="s">
        <v>277</v>
      </c>
      <c r="I8" s="15">
        <v>805023817</v>
      </c>
      <c r="J8" s="16" t="s">
        <v>278</v>
      </c>
      <c r="K8" s="17">
        <f>100000/2</f>
        <v>50000</v>
      </c>
      <c r="L8" s="18" t="s">
        <v>36</v>
      </c>
      <c r="M8" s="19">
        <f>3660*2</f>
        <v>7320</v>
      </c>
      <c r="N8" s="19">
        <v>0</v>
      </c>
      <c r="O8" s="19">
        <f t="shared" si="1"/>
        <v>366000000</v>
      </c>
      <c r="P8" s="17" t="s">
        <v>37</v>
      </c>
    </row>
    <row r="9" spans="1:16" x14ac:dyDescent="0.3">
      <c r="A9" s="9" t="s">
        <v>284</v>
      </c>
      <c r="B9" s="10" t="s">
        <v>312</v>
      </c>
      <c r="C9" s="11" t="s">
        <v>313</v>
      </c>
      <c r="D9" s="12">
        <v>43959</v>
      </c>
      <c r="E9" s="12">
        <v>43959</v>
      </c>
      <c r="F9" s="13">
        <v>2416900</v>
      </c>
      <c r="G9" s="14">
        <v>0</v>
      </c>
      <c r="H9" s="9" t="s">
        <v>314</v>
      </c>
      <c r="I9" s="15">
        <v>10125834</v>
      </c>
      <c r="J9" s="16" t="s">
        <v>315</v>
      </c>
      <c r="K9" s="17">
        <v>193.05591000000001</v>
      </c>
      <c r="L9" s="18" t="s">
        <v>36</v>
      </c>
      <c r="M9" s="19">
        <v>11068.814210349738</v>
      </c>
      <c r="N9" s="19">
        <v>0</v>
      </c>
      <c r="O9" s="19">
        <f t="shared" si="1"/>
        <v>2136900</v>
      </c>
      <c r="P9" s="17" t="s">
        <v>37</v>
      </c>
    </row>
    <row r="10" spans="1:16" x14ac:dyDescent="0.3">
      <c r="A10" s="9" t="s">
        <v>284</v>
      </c>
      <c r="B10" s="10" t="s">
        <v>316</v>
      </c>
      <c r="C10" s="11" t="s">
        <v>317</v>
      </c>
      <c r="D10" s="12">
        <v>43959</v>
      </c>
      <c r="E10" s="12">
        <v>43959</v>
      </c>
      <c r="F10" s="13">
        <v>30000000</v>
      </c>
      <c r="G10" s="14">
        <v>0</v>
      </c>
      <c r="H10" s="9" t="s">
        <v>318</v>
      </c>
      <c r="I10" s="15">
        <v>900353659</v>
      </c>
      <c r="J10" s="16" t="s">
        <v>319</v>
      </c>
      <c r="K10" s="17">
        <v>2000</v>
      </c>
      <c r="L10" s="18" t="s">
        <v>36</v>
      </c>
      <c r="M10" s="19">
        <v>15000</v>
      </c>
      <c r="N10" s="19">
        <v>0</v>
      </c>
      <c r="O10" s="19">
        <f t="shared" si="1"/>
        <v>30000000</v>
      </c>
      <c r="P10" s="17" t="s">
        <v>37</v>
      </c>
    </row>
    <row r="11" spans="1:16" x14ac:dyDescent="0.3">
      <c r="A11" s="9" t="s">
        <v>284</v>
      </c>
      <c r="B11" s="10" t="s">
        <v>323</v>
      </c>
      <c r="C11" s="11" t="s">
        <v>324</v>
      </c>
      <c r="D11" s="12">
        <v>43963</v>
      </c>
      <c r="E11" s="12">
        <v>43964</v>
      </c>
      <c r="F11" s="13">
        <v>10399998</v>
      </c>
      <c r="G11" s="14">
        <v>0</v>
      </c>
      <c r="H11" s="9" t="s">
        <v>325</v>
      </c>
      <c r="I11" s="15">
        <v>900151140</v>
      </c>
      <c r="J11" s="16" t="s">
        <v>329</v>
      </c>
      <c r="K11" s="17">
        <v>144</v>
      </c>
      <c r="L11" s="18" t="s">
        <v>36</v>
      </c>
      <c r="M11" s="19">
        <v>16666.666666666668</v>
      </c>
      <c r="N11" s="19">
        <v>0</v>
      </c>
      <c r="O11" s="19">
        <f t="shared" si="1"/>
        <v>2400000</v>
      </c>
      <c r="P11" s="17" t="s">
        <v>37</v>
      </c>
    </row>
    <row r="12" spans="1:16" x14ac:dyDescent="0.3">
      <c r="A12" s="9" t="s">
        <v>284</v>
      </c>
      <c r="B12" s="10" t="s">
        <v>400</v>
      </c>
      <c r="C12" s="11" t="s">
        <v>1784</v>
      </c>
      <c r="D12" s="12">
        <v>44092</v>
      </c>
      <c r="E12" s="12">
        <v>44092</v>
      </c>
      <c r="F12" s="13">
        <v>20720013.800000001</v>
      </c>
      <c r="G12" s="14">
        <v>0</v>
      </c>
      <c r="H12" s="9" t="s">
        <v>401</v>
      </c>
      <c r="I12" s="15">
        <v>901211678</v>
      </c>
      <c r="J12" s="16" t="s">
        <v>37</v>
      </c>
      <c r="K12" s="17">
        <v>4140</v>
      </c>
      <c r="L12" s="18" t="s">
        <v>36</v>
      </c>
      <c r="M12" s="19">
        <v>5004.8342512077297</v>
      </c>
      <c r="N12" s="19">
        <v>0</v>
      </c>
      <c r="O12" s="19">
        <f t="shared" si="1"/>
        <v>20720013.800000001</v>
      </c>
      <c r="P12" s="17" t="s">
        <v>37</v>
      </c>
    </row>
    <row r="13" spans="1:16" x14ac:dyDescent="0.3">
      <c r="A13" s="9" t="s">
        <v>402</v>
      </c>
      <c r="B13" s="10" t="s">
        <v>408</v>
      </c>
      <c r="C13" s="11" t="s">
        <v>409</v>
      </c>
      <c r="D13" s="12">
        <v>43916</v>
      </c>
      <c r="E13" s="12">
        <v>43917</v>
      </c>
      <c r="F13" s="13">
        <v>21397390</v>
      </c>
      <c r="G13" s="14">
        <v>0</v>
      </c>
      <c r="H13" s="9" t="s">
        <v>410</v>
      </c>
      <c r="I13" s="15">
        <v>901165706</v>
      </c>
      <c r="J13" s="16" t="s">
        <v>35</v>
      </c>
      <c r="K13" s="17">
        <v>100</v>
      </c>
      <c r="L13" s="18" t="s">
        <v>36</v>
      </c>
      <c r="M13" s="19">
        <v>17850</v>
      </c>
      <c r="N13" s="19">
        <v>0</v>
      </c>
      <c r="O13" s="19">
        <f t="shared" si="1"/>
        <v>1785000</v>
      </c>
      <c r="P13" s="17" t="s">
        <v>37</v>
      </c>
    </row>
    <row r="14" spans="1:16" x14ac:dyDescent="0.3">
      <c r="A14" s="9" t="s">
        <v>402</v>
      </c>
      <c r="B14" s="10" t="s">
        <v>421</v>
      </c>
      <c r="C14" s="11" t="s">
        <v>422</v>
      </c>
      <c r="D14" s="12">
        <v>43962</v>
      </c>
      <c r="E14" s="12">
        <v>43962</v>
      </c>
      <c r="F14" s="13">
        <v>32520000</v>
      </c>
      <c r="G14" s="14">
        <v>0</v>
      </c>
      <c r="H14" s="9" t="s">
        <v>382</v>
      </c>
      <c r="I14" s="15">
        <v>900567130</v>
      </c>
      <c r="J14" s="16" t="s">
        <v>423</v>
      </c>
      <c r="K14" s="17">
        <v>2168</v>
      </c>
      <c r="L14" s="18" t="s">
        <v>36</v>
      </c>
      <c r="M14" s="19">
        <v>15000</v>
      </c>
      <c r="N14" s="19">
        <v>0</v>
      </c>
      <c r="O14" s="19">
        <f t="shared" si="1"/>
        <v>32520000</v>
      </c>
      <c r="P14" s="17" t="s">
        <v>37</v>
      </c>
    </row>
    <row r="15" spans="1:16" x14ac:dyDescent="0.3">
      <c r="A15" s="9" t="s">
        <v>402</v>
      </c>
      <c r="B15" t="s">
        <v>469</v>
      </c>
      <c r="C15" t="s">
        <v>470</v>
      </c>
      <c r="D15" s="12">
        <v>44175</v>
      </c>
      <c r="E15" s="12">
        <v>44186</v>
      </c>
      <c r="F15" s="13">
        <v>0</v>
      </c>
      <c r="G15" s="30">
        <v>1517022</v>
      </c>
      <c r="H15" s="9" t="s">
        <v>459</v>
      </c>
      <c r="I15" s="15">
        <v>830501019</v>
      </c>
      <c r="J15" s="16" t="s">
        <v>37</v>
      </c>
      <c r="K15" s="17">
        <v>351</v>
      </c>
      <c r="L15" s="18" t="s">
        <v>36</v>
      </c>
      <c r="M15" s="19">
        <v>4322</v>
      </c>
      <c r="N15" s="19">
        <v>0</v>
      </c>
      <c r="O15" s="19">
        <f t="shared" si="1"/>
        <v>1517022</v>
      </c>
      <c r="P15" s="17" t="s">
        <v>37</v>
      </c>
    </row>
    <row r="16" spans="1:16" x14ac:dyDescent="0.3">
      <c r="A16" s="9" t="s">
        <v>472</v>
      </c>
      <c r="B16" s="10" t="s">
        <v>476</v>
      </c>
      <c r="C16" s="11" t="s">
        <v>477</v>
      </c>
      <c r="D16" s="12">
        <v>43915</v>
      </c>
      <c r="E16" s="12">
        <v>43915</v>
      </c>
      <c r="F16" s="13">
        <v>8399531</v>
      </c>
      <c r="G16" s="14">
        <v>0</v>
      </c>
      <c r="H16" s="9" t="s">
        <v>478</v>
      </c>
      <c r="I16" s="15">
        <v>1047451945</v>
      </c>
      <c r="J16" s="16" t="s">
        <v>35</v>
      </c>
      <c r="K16" s="17">
        <v>333.5</v>
      </c>
      <c r="L16" s="18" t="s">
        <v>36</v>
      </c>
      <c r="M16" s="19">
        <v>25186</v>
      </c>
      <c r="N16" s="19">
        <v>0</v>
      </c>
      <c r="O16" s="19">
        <f t="shared" si="1"/>
        <v>8399531</v>
      </c>
      <c r="P16" s="17" t="s">
        <v>37</v>
      </c>
    </row>
    <row r="17" spans="1:16" x14ac:dyDescent="0.3">
      <c r="A17" s="9" t="s">
        <v>472</v>
      </c>
      <c r="B17" s="10" t="s">
        <v>497</v>
      </c>
      <c r="C17" s="11" t="s">
        <v>494</v>
      </c>
      <c r="D17" s="12" t="s">
        <v>495</v>
      </c>
      <c r="E17" s="12" t="s">
        <v>495</v>
      </c>
      <c r="F17" s="13">
        <v>17400156</v>
      </c>
      <c r="G17" s="14">
        <v>0</v>
      </c>
      <c r="H17" s="9" t="s">
        <v>359</v>
      </c>
      <c r="I17" s="15">
        <v>900704052</v>
      </c>
      <c r="J17" s="16" t="s">
        <v>498</v>
      </c>
      <c r="K17" s="17">
        <v>1434</v>
      </c>
      <c r="L17" s="18" t="s">
        <v>36</v>
      </c>
      <c r="M17" s="19">
        <v>11634</v>
      </c>
      <c r="N17" s="19">
        <v>0</v>
      </c>
      <c r="O17" s="19">
        <f t="shared" si="1"/>
        <v>16683156</v>
      </c>
      <c r="P17" s="17" t="s">
        <v>37</v>
      </c>
    </row>
    <row r="18" spans="1:16" x14ac:dyDescent="0.3">
      <c r="A18" s="9" t="s">
        <v>472</v>
      </c>
      <c r="B18" s="10" t="s">
        <v>533</v>
      </c>
      <c r="C18" s="11" t="s">
        <v>534</v>
      </c>
      <c r="D18" s="12">
        <v>44008</v>
      </c>
      <c r="E18" s="12">
        <v>44008</v>
      </c>
      <c r="F18" s="13">
        <v>2457000</v>
      </c>
      <c r="G18" s="14">
        <v>0</v>
      </c>
      <c r="H18" s="9" t="s">
        <v>535</v>
      </c>
      <c r="I18" s="15">
        <v>811008383</v>
      </c>
      <c r="J18" s="16" t="s">
        <v>37</v>
      </c>
      <c r="K18" s="17">
        <v>379.98</v>
      </c>
      <c r="L18" s="18" t="s">
        <v>36</v>
      </c>
      <c r="M18" s="19">
        <v>6466</v>
      </c>
      <c r="N18" s="19">
        <v>0</v>
      </c>
      <c r="O18" s="19">
        <f t="shared" si="1"/>
        <v>2456950.6800000002</v>
      </c>
      <c r="P18" s="17" t="s">
        <v>37</v>
      </c>
    </row>
    <row r="19" spans="1:16" x14ac:dyDescent="0.3">
      <c r="A19" s="9" t="s">
        <v>472</v>
      </c>
      <c r="B19" s="10" t="s">
        <v>543</v>
      </c>
      <c r="C19" s="11" t="s">
        <v>1785</v>
      </c>
      <c r="D19" s="12">
        <v>44083</v>
      </c>
      <c r="E19" s="12">
        <v>44083</v>
      </c>
      <c r="F19" s="13">
        <v>6100000</v>
      </c>
      <c r="G19" s="14">
        <v>0</v>
      </c>
      <c r="H19" s="9" t="s">
        <v>158</v>
      </c>
      <c r="I19" s="15">
        <v>8300013381</v>
      </c>
      <c r="J19" s="16" t="s">
        <v>35</v>
      </c>
      <c r="K19" s="17">
        <f>400*3.75</f>
        <v>1500</v>
      </c>
      <c r="L19" s="18" t="s">
        <v>36</v>
      </c>
      <c r="M19" s="19">
        <f>15250/3.75</f>
        <v>4066.6666666666665</v>
      </c>
      <c r="N19" s="19">
        <v>0</v>
      </c>
      <c r="O19" s="19">
        <f t="shared" si="1"/>
        <v>6100000</v>
      </c>
      <c r="P19" s="17" t="s">
        <v>37</v>
      </c>
    </row>
    <row r="20" spans="1:16" x14ac:dyDescent="0.3">
      <c r="A20" s="9" t="s">
        <v>558</v>
      </c>
      <c r="B20" s="10" t="s">
        <v>2018</v>
      </c>
      <c r="C20" s="28" t="s">
        <v>630</v>
      </c>
      <c r="D20" s="12">
        <v>44077</v>
      </c>
      <c r="E20" s="12">
        <v>44077</v>
      </c>
      <c r="F20" s="13">
        <v>14787292</v>
      </c>
      <c r="G20" s="14">
        <v>0</v>
      </c>
      <c r="H20" s="9" t="s">
        <v>654</v>
      </c>
      <c r="I20" s="15">
        <v>8300013381</v>
      </c>
      <c r="J20" s="16" t="s">
        <v>1964</v>
      </c>
      <c r="K20" s="17">
        <f>280*3.75</f>
        <v>1050</v>
      </c>
      <c r="L20" s="18" t="s">
        <v>36</v>
      </c>
      <c r="M20" s="19">
        <f>13000/3.75</f>
        <v>3466.6666666666665</v>
      </c>
      <c r="N20" s="19">
        <f t="shared" ref="N20" si="2">M20*0.19</f>
        <v>658.66666666666663</v>
      </c>
      <c r="O20" s="19">
        <f t="shared" si="1"/>
        <v>4331600</v>
      </c>
      <c r="P20" s="17" t="s">
        <v>37</v>
      </c>
    </row>
    <row r="21" spans="1:16" x14ac:dyDescent="0.3">
      <c r="A21" s="9" t="s">
        <v>558</v>
      </c>
      <c r="B21" s="10" t="s">
        <v>2028</v>
      </c>
      <c r="C21" s="28" t="s">
        <v>653</v>
      </c>
      <c r="D21" s="12">
        <v>44181</v>
      </c>
      <c r="E21" s="12">
        <v>44181</v>
      </c>
      <c r="F21" s="13">
        <v>12812903.15</v>
      </c>
      <c r="G21" s="14">
        <v>0</v>
      </c>
      <c r="H21" s="9" t="s">
        <v>654</v>
      </c>
      <c r="I21" s="15">
        <v>8300013381</v>
      </c>
      <c r="J21" s="16" t="s">
        <v>545</v>
      </c>
      <c r="K21" s="17">
        <f>400*3.75</f>
        <v>1500</v>
      </c>
      <c r="L21" s="18" t="s">
        <v>36</v>
      </c>
      <c r="M21" s="19">
        <f>17110/3.75</f>
        <v>4562.666666666667</v>
      </c>
      <c r="N21" s="19">
        <v>0</v>
      </c>
      <c r="O21" s="19">
        <f t="shared" si="1"/>
        <v>6844000</v>
      </c>
      <c r="P21" s="17" t="s">
        <v>37</v>
      </c>
    </row>
    <row r="22" spans="1:16" x14ac:dyDescent="0.3">
      <c r="A22" s="9" t="s">
        <v>657</v>
      </c>
      <c r="B22" s="10" t="s">
        <v>662</v>
      </c>
      <c r="C22" s="11" t="s">
        <v>663</v>
      </c>
      <c r="D22" s="12">
        <v>43963</v>
      </c>
      <c r="E22" s="12">
        <v>43963</v>
      </c>
      <c r="F22" s="13">
        <v>166018725</v>
      </c>
      <c r="G22" s="14">
        <v>0</v>
      </c>
      <c r="H22" s="9" t="s">
        <v>660</v>
      </c>
      <c r="I22" s="15">
        <v>813005241</v>
      </c>
      <c r="J22" s="16" t="s">
        <v>666</v>
      </c>
      <c r="K22" s="17">
        <v>2660</v>
      </c>
      <c r="L22" s="18" t="s">
        <v>36</v>
      </c>
      <c r="M22" s="19">
        <v>15478.947368421053</v>
      </c>
      <c r="N22" s="19">
        <v>0</v>
      </c>
      <c r="O22" s="19">
        <f t="shared" si="1"/>
        <v>41174000</v>
      </c>
      <c r="P22" s="17" t="s">
        <v>37</v>
      </c>
    </row>
    <row r="23" spans="1:16" x14ac:dyDescent="0.3">
      <c r="A23" s="9" t="s">
        <v>657</v>
      </c>
      <c r="B23" s="10" t="s">
        <v>670</v>
      </c>
      <c r="C23" s="11" t="s">
        <v>671</v>
      </c>
      <c r="D23" s="12">
        <v>44015</v>
      </c>
      <c r="E23" s="12">
        <v>44018</v>
      </c>
      <c r="F23" s="13">
        <v>201000100</v>
      </c>
      <c r="G23" s="14">
        <v>0</v>
      </c>
      <c r="H23" s="9" t="s">
        <v>660</v>
      </c>
      <c r="I23" s="15">
        <v>813005241</v>
      </c>
      <c r="J23" s="16" t="s">
        <v>673</v>
      </c>
      <c r="K23" s="17">
        <v>2850</v>
      </c>
      <c r="L23" s="18" t="s">
        <v>36</v>
      </c>
      <c r="M23" s="19">
        <v>54000</v>
      </c>
      <c r="N23" s="19">
        <v>0</v>
      </c>
      <c r="O23" s="19">
        <f t="shared" si="1"/>
        <v>153900000</v>
      </c>
      <c r="P23" s="17" t="s">
        <v>37</v>
      </c>
    </row>
    <row r="24" spans="1:16" x14ac:dyDescent="0.3">
      <c r="A24" s="9" t="s">
        <v>657</v>
      </c>
      <c r="B24" s="10" t="s">
        <v>670</v>
      </c>
      <c r="C24" s="11" t="s">
        <v>671</v>
      </c>
      <c r="D24" s="12">
        <v>44015</v>
      </c>
      <c r="E24" s="12">
        <v>44018</v>
      </c>
      <c r="F24" s="13">
        <v>201000100</v>
      </c>
      <c r="G24" s="14">
        <v>0</v>
      </c>
      <c r="H24" s="9" t="s">
        <v>660</v>
      </c>
      <c r="I24" s="15">
        <v>813005241</v>
      </c>
      <c r="J24" s="16" t="s">
        <v>674</v>
      </c>
      <c r="K24" s="17">
        <v>30</v>
      </c>
      <c r="L24" s="18" t="s">
        <v>36</v>
      </c>
      <c r="M24" s="19">
        <v>9900</v>
      </c>
      <c r="N24" s="19">
        <v>0</v>
      </c>
      <c r="O24" s="19">
        <f t="shared" si="1"/>
        <v>297000</v>
      </c>
      <c r="P24" s="17" t="s">
        <v>37</v>
      </c>
    </row>
    <row r="25" spans="1:16" x14ac:dyDescent="0.3">
      <c r="A25" s="9" t="s">
        <v>657</v>
      </c>
      <c r="B25" s="10" t="s">
        <v>2031</v>
      </c>
      <c r="C25" s="11" t="s">
        <v>1797</v>
      </c>
      <c r="D25" s="12">
        <v>44159</v>
      </c>
      <c r="E25" s="12">
        <v>44159</v>
      </c>
      <c r="F25" s="13">
        <v>38115250</v>
      </c>
      <c r="G25" s="14">
        <v>0</v>
      </c>
      <c r="H25" s="9" t="s">
        <v>158</v>
      </c>
      <c r="I25" s="15">
        <v>830001338</v>
      </c>
      <c r="J25" s="16" t="s">
        <v>666</v>
      </c>
      <c r="K25" s="17">
        <f>96*3.75</f>
        <v>360</v>
      </c>
      <c r="L25" s="18" t="s">
        <v>36</v>
      </c>
      <c r="M25" s="19">
        <f>11965/3.75</f>
        <v>3190.6666666666665</v>
      </c>
      <c r="N25" s="19">
        <v>0</v>
      </c>
      <c r="O25" s="19">
        <f t="shared" si="1"/>
        <v>1148640</v>
      </c>
      <c r="P25" s="17" t="s">
        <v>37</v>
      </c>
    </row>
    <row r="26" spans="1:16" x14ac:dyDescent="0.3">
      <c r="A26" s="9" t="s">
        <v>690</v>
      </c>
      <c r="B26" s="10" t="s">
        <v>705</v>
      </c>
      <c r="C26" s="11" t="s">
        <v>706</v>
      </c>
      <c r="D26" s="12">
        <v>43929</v>
      </c>
      <c r="E26" s="12">
        <v>43929</v>
      </c>
      <c r="F26" s="13">
        <v>6125000</v>
      </c>
      <c r="G26" s="14">
        <v>0</v>
      </c>
      <c r="H26" s="9" t="s">
        <v>707</v>
      </c>
      <c r="I26" s="15">
        <v>1053782604</v>
      </c>
      <c r="J26" s="16" t="s">
        <v>35</v>
      </c>
      <c r="K26" s="17">
        <v>175</v>
      </c>
      <c r="L26" s="18" t="s">
        <v>36</v>
      </c>
      <c r="M26" s="19">
        <v>15000</v>
      </c>
      <c r="N26" s="19">
        <v>0</v>
      </c>
      <c r="O26" s="19">
        <f t="shared" si="1"/>
        <v>2625000</v>
      </c>
      <c r="P26" s="17" t="s">
        <v>37</v>
      </c>
    </row>
    <row r="27" spans="1:16" x14ac:dyDescent="0.3">
      <c r="A27" s="9" t="s">
        <v>690</v>
      </c>
      <c r="B27" s="10" t="s">
        <v>2037</v>
      </c>
      <c r="C27" s="11" t="s">
        <v>740</v>
      </c>
      <c r="D27" s="12">
        <v>43983</v>
      </c>
      <c r="E27" s="12">
        <v>43983</v>
      </c>
      <c r="F27" s="13">
        <v>7650000</v>
      </c>
      <c r="G27" s="14">
        <v>0</v>
      </c>
      <c r="H27" s="9" t="s">
        <v>733</v>
      </c>
      <c r="I27" s="15">
        <v>94409574</v>
      </c>
      <c r="J27" s="16" t="s">
        <v>740</v>
      </c>
      <c r="K27" s="17">
        <v>500</v>
      </c>
      <c r="L27" s="18" t="s">
        <v>36</v>
      </c>
      <c r="M27" s="19">
        <v>12700</v>
      </c>
      <c r="N27" s="19">
        <v>0</v>
      </c>
      <c r="O27" s="19">
        <f t="shared" si="1"/>
        <v>6350000</v>
      </c>
      <c r="P27" s="17" t="s">
        <v>37</v>
      </c>
    </row>
    <row r="28" spans="1:16" x14ac:dyDescent="0.3">
      <c r="A28" s="33" t="s">
        <v>690</v>
      </c>
      <c r="B28" s="33" t="s">
        <v>793</v>
      </c>
      <c r="C28" s="33" t="s">
        <v>1804</v>
      </c>
      <c r="D28" s="34">
        <v>44147</v>
      </c>
      <c r="E28" s="34">
        <v>44147</v>
      </c>
      <c r="F28" s="35">
        <v>4459400</v>
      </c>
      <c r="G28" s="14">
        <v>0</v>
      </c>
      <c r="H28" s="33" t="s">
        <v>271</v>
      </c>
      <c r="I28" s="36">
        <v>19254921</v>
      </c>
      <c r="J28" s="33" t="s">
        <v>1867</v>
      </c>
      <c r="K28" s="17">
        <f>200*3.75</f>
        <v>750</v>
      </c>
      <c r="L28" s="29" t="s">
        <v>36</v>
      </c>
      <c r="M28" s="19">
        <v>4149</v>
      </c>
      <c r="N28" s="19">
        <v>0</v>
      </c>
      <c r="O28" s="19">
        <f t="shared" si="1"/>
        <v>3111750</v>
      </c>
      <c r="P28" s="17" t="s">
        <v>37</v>
      </c>
    </row>
    <row r="29" spans="1:16" x14ac:dyDescent="0.3">
      <c r="A29" s="33" t="s">
        <v>690</v>
      </c>
      <c r="B29" s="33" t="s">
        <v>805</v>
      </c>
      <c r="C29" s="33" t="s">
        <v>1812</v>
      </c>
      <c r="D29" s="34">
        <v>44186</v>
      </c>
      <c r="E29" s="34">
        <v>44186</v>
      </c>
      <c r="F29" s="35">
        <v>7779980.4199999999</v>
      </c>
      <c r="G29" s="14">
        <v>0</v>
      </c>
      <c r="H29" s="33" t="s">
        <v>158</v>
      </c>
      <c r="I29" s="36">
        <v>830001338</v>
      </c>
      <c r="J29" s="33" t="s">
        <v>1876</v>
      </c>
      <c r="K29" s="17">
        <v>500</v>
      </c>
      <c r="L29" s="37" t="s">
        <v>36</v>
      </c>
      <c r="M29" s="19">
        <v>4450</v>
      </c>
      <c r="N29" s="19">
        <v>0</v>
      </c>
      <c r="O29" s="19">
        <f t="shared" si="1"/>
        <v>2225000</v>
      </c>
      <c r="P29" s="17" t="s">
        <v>37</v>
      </c>
    </row>
    <row r="30" spans="1:16" x14ac:dyDescent="0.3">
      <c r="A30" s="9" t="s">
        <v>809</v>
      </c>
      <c r="B30" s="10" t="s">
        <v>810</v>
      </c>
      <c r="C30" s="11" t="s">
        <v>811</v>
      </c>
      <c r="D30" s="12">
        <v>43959</v>
      </c>
      <c r="E30" s="12">
        <v>43963</v>
      </c>
      <c r="F30" s="13">
        <v>0</v>
      </c>
      <c r="G30" s="14">
        <v>20220000</v>
      </c>
      <c r="H30" s="9" t="s">
        <v>812</v>
      </c>
      <c r="I30" s="15">
        <v>900429897</v>
      </c>
      <c r="J30" s="16" t="s">
        <v>813</v>
      </c>
      <c r="K30" s="17">
        <v>1200</v>
      </c>
      <c r="L30" s="18" t="s">
        <v>36</v>
      </c>
      <c r="M30" s="19">
        <v>16850</v>
      </c>
      <c r="N30" s="19">
        <v>0</v>
      </c>
      <c r="O30" s="19">
        <f t="shared" si="1"/>
        <v>20220000</v>
      </c>
      <c r="P30" s="17" t="s">
        <v>37</v>
      </c>
    </row>
    <row r="31" spans="1:16" x14ac:dyDescent="0.3">
      <c r="A31" s="9" t="s">
        <v>809</v>
      </c>
      <c r="B31" s="10" t="s">
        <v>810</v>
      </c>
      <c r="C31" s="11" t="s">
        <v>811</v>
      </c>
      <c r="D31" s="12">
        <v>43959</v>
      </c>
      <c r="E31" s="12">
        <v>43963</v>
      </c>
      <c r="F31" s="13">
        <v>36164900</v>
      </c>
      <c r="G31" s="14">
        <v>0</v>
      </c>
      <c r="H31" s="9" t="s">
        <v>812</v>
      </c>
      <c r="I31" s="15">
        <v>900429897</v>
      </c>
      <c r="J31" s="16" t="s">
        <v>853</v>
      </c>
      <c r="K31" s="17">
        <v>1354</v>
      </c>
      <c r="L31" s="18" t="s">
        <v>36</v>
      </c>
      <c r="M31" s="19">
        <v>16850</v>
      </c>
      <c r="N31" s="19">
        <v>0</v>
      </c>
      <c r="O31" s="19">
        <f t="shared" si="1"/>
        <v>22814900</v>
      </c>
      <c r="P31" s="17" t="s">
        <v>37</v>
      </c>
    </row>
    <row r="32" spans="1:16" x14ac:dyDescent="0.3">
      <c r="A32" s="9" t="s">
        <v>861</v>
      </c>
      <c r="B32" s="10" t="s">
        <v>883</v>
      </c>
      <c r="C32" s="11" t="s">
        <v>884</v>
      </c>
      <c r="D32" s="12" t="s">
        <v>885</v>
      </c>
      <c r="E32" s="12" t="s">
        <v>885</v>
      </c>
      <c r="F32" s="13">
        <v>10499998</v>
      </c>
      <c r="G32" s="14">
        <v>0</v>
      </c>
      <c r="H32" s="9" t="s">
        <v>886</v>
      </c>
      <c r="I32" s="15">
        <v>901260145</v>
      </c>
      <c r="J32" s="16" t="s">
        <v>887</v>
      </c>
      <c r="K32" s="17">
        <v>350</v>
      </c>
      <c r="L32" s="18" t="s">
        <v>36</v>
      </c>
      <c r="M32" s="19">
        <v>25210.080000000002</v>
      </c>
      <c r="N32" s="19">
        <f t="shared" ref="N32:N35" si="3">M32*0.19</f>
        <v>4789.9152000000004</v>
      </c>
      <c r="O32" s="19">
        <f t="shared" si="1"/>
        <v>10499998.32</v>
      </c>
      <c r="P32" s="17" t="s">
        <v>37</v>
      </c>
    </row>
    <row r="33" spans="1:16" x14ac:dyDescent="0.3">
      <c r="A33" s="9" t="s">
        <v>861</v>
      </c>
      <c r="B33" s="10" t="s">
        <v>896</v>
      </c>
      <c r="C33" s="11" t="s">
        <v>884</v>
      </c>
      <c r="D33" s="12" t="s">
        <v>897</v>
      </c>
      <c r="E33" s="12" t="s">
        <v>897</v>
      </c>
      <c r="F33" s="13">
        <v>15999997</v>
      </c>
      <c r="G33" s="14">
        <v>0</v>
      </c>
      <c r="H33" s="9" t="s">
        <v>886</v>
      </c>
      <c r="I33" s="15">
        <v>901260145</v>
      </c>
      <c r="J33" s="16" t="s">
        <v>898</v>
      </c>
      <c r="K33" s="17">
        <v>400</v>
      </c>
      <c r="L33" s="18" t="s">
        <v>36</v>
      </c>
      <c r="M33" s="19">
        <v>21008.400000000001</v>
      </c>
      <c r="N33" s="19">
        <f t="shared" si="3"/>
        <v>3991.5960000000005</v>
      </c>
      <c r="O33" s="19">
        <f t="shared" si="1"/>
        <v>9999998.4000000004</v>
      </c>
      <c r="P33" s="17" t="s">
        <v>37</v>
      </c>
    </row>
    <row r="34" spans="1:16" x14ac:dyDescent="0.3">
      <c r="A34" s="9" t="s">
        <v>861</v>
      </c>
      <c r="B34" s="10" t="s">
        <v>896</v>
      </c>
      <c r="C34" s="11" t="s">
        <v>884</v>
      </c>
      <c r="D34" s="12" t="s">
        <v>897</v>
      </c>
      <c r="E34" s="12" t="s">
        <v>897</v>
      </c>
      <c r="F34" s="13">
        <v>15999997</v>
      </c>
      <c r="G34" s="14">
        <v>0</v>
      </c>
      <c r="H34" s="9" t="s">
        <v>886</v>
      </c>
      <c r="I34" s="15">
        <v>901260145</v>
      </c>
      <c r="J34" s="16" t="s">
        <v>899</v>
      </c>
      <c r="K34" s="17">
        <v>300</v>
      </c>
      <c r="L34" s="18" t="s">
        <v>36</v>
      </c>
      <c r="M34" s="19">
        <v>16806.72</v>
      </c>
      <c r="N34" s="19">
        <f t="shared" si="3"/>
        <v>3193.2768000000001</v>
      </c>
      <c r="O34" s="19">
        <f t="shared" si="1"/>
        <v>5999999.04</v>
      </c>
      <c r="P34" s="17" t="s">
        <v>37</v>
      </c>
    </row>
    <row r="35" spans="1:16" x14ac:dyDescent="0.3">
      <c r="A35" s="9" t="s">
        <v>861</v>
      </c>
      <c r="B35" s="10" t="s">
        <v>909</v>
      </c>
      <c r="C35" s="11" t="s">
        <v>910</v>
      </c>
      <c r="D35" s="12">
        <v>43984</v>
      </c>
      <c r="E35" s="12">
        <v>43984</v>
      </c>
      <c r="F35" s="13">
        <v>4000000</v>
      </c>
      <c r="G35" s="14">
        <v>0</v>
      </c>
      <c r="H35" s="9" t="s">
        <v>911</v>
      </c>
      <c r="I35" s="15">
        <v>901059820</v>
      </c>
      <c r="J35" s="16" t="s">
        <v>913</v>
      </c>
      <c r="K35" s="17">
        <v>24</v>
      </c>
      <c r="L35" s="18" t="s">
        <v>36</v>
      </c>
      <c r="M35" s="19">
        <v>16806.73</v>
      </c>
      <c r="N35" s="19">
        <f t="shared" si="3"/>
        <v>3193.2786999999998</v>
      </c>
      <c r="O35" s="19">
        <f t="shared" si="1"/>
        <v>480000.20879999996</v>
      </c>
      <c r="P35" s="17" t="s">
        <v>37</v>
      </c>
    </row>
    <row r="36" spans="1:16" x14ac:dyDescent="0.3">
      <c r="A36" s="9" t="s">
        <v>861</v>
      </c>
      <c r="B36" s="10" t="s">
        <v>921</v>
      </c>
      <c r="C36" s="11" t="s">
        <v>922</v>
      </c>
      <c r="D36" s="12">
        <v>43987</v>
      </c>
      <c r="E36" s="12">
        <v>43987</v>
      </c>
      <c r="F36" s="13">
        <v>131250000</v>
      </c>
      <c r="G36" s="14">
        <v>0</v>
      </c>
      <c r="H36" s="9" t="s">
        <v>923</v>
      </c>
      <c r="I36" s="15">
        <v>901220553</v>
      </c>
      <c r="J36" s="16" t="s">
        <v>925</v>
      </c>
      <c r="K36" s="17">
        <v>1500</v>
      </c>
      <c r="L36" s="18" t="s">
        <v>36</v>
      </c>
      <c r="M36" s="19">
        <v>17800</v>
      </c>
      <c r="N36" s="19">
        <v>0</v>
      </c>
      <c r="O36" s="19">
        <f t="shared" si="1"/>
        <v>26700000</v>
      </c>
      <c r="P36" s="17" t="s">
        <v>37</v>
      </c>
    </row>
    <row r="37" spans="1:16" x14ac:dyDescent="0.3">
      <c r="A37" s="9" t="s">
        <v>861</v>
      </c>
      <c r="B37" s="10" t="s">
        <v>921</v>
      </c>
      <c r="C37" s="11" t="s">
        <v>922</v>
      </c>
      <c r="D37" s="12">
        <v>43987</v>
      </c>
      <c r="E37" s="12">
        <v>43987</v>
      </c>
      <c r="F37" s="13">
        <v>131250000</v>
      </c>
      <c r="G37" s="14">
        <v>0</v>
      </c>
      <c r="H37" s="9" t="s">
        <v>923</v>
      </c>
      <c r="I37" s="15">
        <v>901220553</v>
      </c>
      <c r="J37" s="16" t="s">
        <v>926</v>
      </c>
      <c r="K37" s="17">
        <v>1500</v>
      </c>
      <c r="L37" s="18" t="s">
        <v>36</v>
      </c>
      <c r="M37" s="19">
        <v>14500</v>
      </c>
      <c r="N37" s="19">
        <v>0</v>
      </c>
      <c r="O37" s="19">
        <f t="shared" si="1"/>
        <v>21750000</v>
      </c>
      <c r="P37" s="17" t="s">
        <v>37</v>
      </c>
    </row>
    <row r="38" spans="1:16" x14ac:dyDescent="0.3">
      <c r="A38" s="9" t="s">
        <v>861</v>
      </c>
      <c r="B38" s="10" t="s">
        <v>957</v>
      </c>
      <c r="C38" s="11" t="s">
        <v>958</v>
      </c>
      <c r="D38" s="12">
        <v>44098</v>
      </c>
      <c r="E38" s="12">
        <v>44104</v>
      </c>
      <c r="F38" s="13">
        <v>7675228</v>
      </c>
      <c r="G38" s="14">
        <v>0</v>
      </c>
      <c r="H38" s="9" t="s">
        <v>959</v>
      </c>
      <c r="I38" s="15" t="s">
        <v>960</v>
      </c>
      <c r="J38" s="16" t="s">
        <v>961</v>
      </c>
      <c r="K38" s="17">
        <v>1000</v>
      </c>
      <c r="L38" s="18" t="s">
        <v>36</v>
      </c>
      <c r="M38" s="19">
        <v>5939</v>
      </c>
      <c r="N38" s="19">
        <v>0</v>
      </c>
      <c r="O38" s="19">
        <f t="shared" si="1"/>
        <v>5939000</v>
      </c>
      <c r="P38" s="17" t="s">
        <v>37</v>
      </c>
    </row>
    <row r="39" spans="1:16" x14ac:dyDescent="0.3">
      <c r="A39" s="9" t="s">
        <v>861</v>
      </c>
      <c r="B39" s="10" t="s">
        <v>987</v>
      </c>
      <c r="C39" s="11" t="s">
        <v>958</v>
      </c>
      <c r="D39" s="12">
        <v>44168</v>
      </c>
      <c r="E39" s="12">
        <v>44172</v>
      </c>
      <c r="F39" s="13">
        <v>26380000</v>
      </c>
      <c r="G39" s="14">
        <v>0</v>
      </c>
      <c r="H39" s="9" t="s">
        <v>967</v>
      </c>
      <c r="I39" s="15" t="s">
        <v>968</v>
      </c>
      <c r="J39" s="16" t="s">
        <v>961</v>
      </c>
      <c r="K39" s="17">
        <v>2500</v>
      </c>
      <c r="L39" s="18" t="s">
        <v>36</v>
      </c>
      <c r="M39" s="19">
        <v>6420</v>
      </c>
      <c r="N39" s="19">
        <v>0</v>
      </c>
      <c r="O39" s="19">
        <f t="shared" si="1"/>
        <v>16050000</v>
      </c>
      <c r="P39" s="17" t="s">
        <v>37</v>
      </c>
    </row>
    <row r="40" spans="1:16" x14ac:dyDescent="0.3">
      <c r="A40" s="9" t="s">
        <v>861</v>
      </c>
      <c r="B40" s="10" t="s">
        <v>987</v>
      </c>
      <c r="C40" s="11" t="s">
        <v>988</v>
      </c>
      <c r="D40" s="12">
        <v>44168</v>
      </c>
      <c r="E40" s="12">
        <v>44172</v>
      </c>
      <c r="F40" s="13">
        <v>26380000</v>
      </c>
      <c r="G40" s="14">
        <v>0</v>
      </c>
      <c r="H40" s="9" t="s">
        <v>967</v>
      </c>
      <c r="I40" s="15" t="s">
        <v>968</v>
      </c>
      <c r="J40" s="16" t="s">
        <v>37</v>
      </c>
      <c r="K40" s="17">
        <v>1000</v>
      </c>
      <c r="L40" s="18" t="s">
        <v>36</v>
      </c>
      <c r="M40" s="19">
        <v>4070</v>
      </c>
      <c r="N40" s="19">
        <v>0</v>
      </c>
      <c r="O40" s="19">
        <f t="shared" si="1"/>
        <v>4070000</v>
      </c>
      <c r="P40" s="17" t="s">
        <v>37</v>
      </c>
    </row>
    <row r="41" spans="1:16" x14ac:dyDescent="0.3">
      <c r="A41" s="9" t="s">
        <v>1006</v>
      </c>
      <c r="B41" s="10" t="s">
        <v>1007</v>
      </c>
      <c r="C41" s="11" t="s">
        <v>1008</v>
      </c>
      <c r="D41" s="12">
        <v>43909</v>
      </c>
      <c r="E41" s="12">
        <v>43915</v>
      </c>
      <c r="F41" s="13">
        <v>92450981</v>
      </c>
      <c r="G41" s="14">
        <v>0</v>
      </c>
      <c r="H41" s="9" t="s">
        <v>1009</v>
      </c>
      <c r="I41" s="15">
        <v>813005241</v>
      </c>
      <c r="J41" s="16" t="s">
        <v>35</v>
      </c>
      <c r="K41" s="17">
        <v>2280</v>
      </c>
      <c r="L41" s="18" t="s">
        <v>36</v>
      </c>
      <c r="M41" s="19">
        <v>15480</v>
      </c>
      <c r="N41" s="19">
        <f t="shared" ref="N41" si="4">M41*0.19</f>
        <v>2941.2</v>
      </c>
      <c r="O41" s="19">
        <f t="shared" si="1"/>
        <v>42000336</v>
      </c>
      <c r="P41" s="17" t="s">
        <v>37</v>
      </c>
    </row>
    <row r="42" spans="1:16" x14ac:dyDescent="0.3">
      <c r="A42" s="9" t="s">
        <v>1006</v>
      </c>
      <c r="B42" s="10" t="s">
        <v>1016</v>
      </c>
      <c r="C42" s="11" t="s">
        <v>1008</v>
      </c>
      <c r="D42" s="12">
        <v>43920</v>
      </c>
      <c r="E42" s="12">
        <v>43922</v>
      </c>
      <c r="F42" s="13">
        <v>12050000</v>
      </c>
      <c r="G42" s="14">
        <v>0</v>
      </c>
      <c r="H42" s="9" t="s">
        <v>1017</v>
      </c>
      <c r="I42" s="15">
        <v>901002888</v>
      </c>
      <c r="J42" s="16" t="s">
        <v>35</v>
      </c>
      <c r="K42" s="17">
        <v>300</v>
      </c>
      <c r="L42" s="18" t="s">
        <v>36</v>
      </c>
      <c r="M42" s="19">
        <v>18000</v>
      </c>
      <c r="N42" s="19">
        <v>0</v>
      </c>
      <c r="O42" s="19">
        <f t="shared" si="1"/>
        <v>5400000</v>
      </c>
      <c r="P42" s="17" t="s">
        <v>37</v>
      </c>
    </row>
    <row r="43" spans="1:16" x14ac:dyDescent="0.3">
      <c r="A43" s="9" t="s">
        <v>1006</v>
      </c>
      <c r="B43" s="10" t="s">
        <v>1024</v>
      </c>
      <c r="C43" s="11" t="s">
        <v>1022</v>
      </c>
      <c r="D43" s="12">
        <v>43971</v>
      </c>
      <c r="E43" s="12">
        <v>43978</v>
      </c>
      <c r="F43" s="13">
        <v>9683640</v>
      </c>
      <c r="G43" s="14">
        <v>0</v>
      </c>
      <c r="H43" s="9" t="s">
        <v>1025</v>
      </c>
      <c r="I43" s="15">
        <v>830094214</v>
      </c>
      <c r="J43" s="16" t="s">
        <v>1887</v>
      </c>
      <c r="K43" s="17">
        <v>342</v>
      </c>
      <c r="L43" s="18" t="s">
        <v>36</v>
      </c>
      <c r="M43" s="19">
        <v>13500</v>
      </c>
      <c r="N43" s="19">
        <v>0</v>
      </c>
      <c r="O43" s="19">
        <f t="shared" si="1"/>
        <v>4617000</v>
      </c>
      <c r="P43" s="17" t="s">
        <v>37</v>
      </c>
    </row>
    <row r="44" spans="1:16" x14ac:dyDescent="0.3">
      <c r="A44" s="9" t="s">
        <v>1006</v>
      </c>
      <c r="B44" s="10" t="s">
        <v>1032</v>
      </c>
      <c r="C44" s="11" t="s">
        <v>1029</v>
      </c>
      <c r="D44" s="12">
        <v>43979</v>
      </c>
      <c r="E44" s="12">
        <v>43979</v>
      </c>
      <c r="F44" s="13">
        <v>27353976</v>
      </c>
      <c r="G44" s="14">
        <v>0</v>
      </c>
      <c r="H44" s="9" t="s">
        <v>1025</v>
      </c>
      <c r="I44" s="15">
        <v>830094214</v>
      </c>
      <c r="J44" s="16" t="s">
        <v>1899</v>
      </c>
      <c r="K44" s="17">
        <v>1284</v>
      </c>
      <c r="L44" s="18" t="s">
        <v>36</v>
      </c>
      <c r="M44" s="19">
        <v>13400</v>
      </c>
      <c r="N44" s="19">
        <v>0</v>
      </c>
      <c r="O44" s="19">
        <f t="shared" si="1"/>
        <v>17205600</v>
      </c>
      <c r="P44" s="17" t="s">
        <v>37</v>
      </c>
    </row>
    <row r="45" spans="1:16" x14ac:dyDescent="0.3">
      <c r="A45" s="9" t="s">
        <v>1006</v>
      </c>
      <c r="B45" s="10" t="s">
        <v>1973</v>
      </c>
      <c r="C45" s="11" t="s">
        <v>1029</v>
      </c>
      <c r="D45" s="12">
        <v>44181</v>
      </c>
      <c r="E45" s="12">
        <v>44181</v>
      </c>
      <c r="F45" s="13">
        <v>48415000</v>
      </c>
      <c r="G45" s="14">
        <v>0</v>
      </c>
      <c r="H45" s="9" t="s">
        <v>964</v>
      </c>
      <c r="I45" s="15">
        <v>830001338</v>
      </c>
      <c r="J45" s="16" t="s">
        <v>37</v>
      </c>
      <c r="K45" s="17">
        <v>1800</v>
      </c>
      <c r="L45" s="18" t="s">
        <v>36</v>
      </c>
      <c r="M45" s="19">
        <v>4450</v>
      </c>
      <c r="N45" s="19">
        <v>0</v>
      </c>
      <c r="O45" s="19">
        <f t="shared" si="1"/>
        <v>8010000</v>
      </c>
      <c r="P45" s="17" t="s">
        <v>37</v>
      </c>
    </row>
    <row r="46" spans="1:16" x14ac:dyDescent="0.3">
      <c r="A46" s="9" t="s">
        <v>1050</v>
      </c>
      <c r="B46" s="10" t="s">
        <v>1057</v>
      </c>
      <c r="C46" s="11" t="s">
        <v>1058</v>
      </c>
      <c r="D46" s="12">
        <v>43944</v>
      </c>
      <c r="E46" s="12">
        <v>43944</v>
      </c>
      <c r="F46" s="13">
        <v>16680840</v>
      </c>
      <c r="G46" s="14">
        <v>0</v>
      </c>
      <c r="H46" s="9" t="s">
        <v>1059</v>
      </c>
      <c r="I46" s="15">
        <v>900704052</v>
      </c>
      <c r="J46" s="16" t="s">
        <v>1060</v>
      </c>
      <c r="K46" s="17">
        <v>1254</v>
      </c>
      <c r="L46" s="18" t="s">
        <v>36</v>
      </c>
      <c r="M46" s="19">
        <v>13302.105262999999</v>
      </c>
      <c r="N46" s="19">
        <v>0</v>
      </c>
      <c r="O46" s="19">
        <f t="shared" si="1"/>
        <v>16680839.999801999</v>
      </c>
      <c r="P46" s="17" t="s">
        <v>37</v>
      </c>
    </row>
    <row r="47" spans="1:16" x14ac:dyDescent="0.3">
      <c r="A47" s="9" t="s">
        <v>1050</v>
      </c>
      <c r="B47" s="10" t="s">
        <v>1074</v>
      </c>
      <c r="C47" s="11" t="s">
        <v>1072</v>
      </c>
      <c r="D47" s="12">
        <v>43985</v>
      </c>
      <c r="E47" s="12">
        <v>43986</v>
      </c>
      <c r="F47" s="13">
        <v>44570660</v>
      </c>
      <c r="G47" s="14">
        <v>0</v>
      </c>
      <c r="H47" s="9" t="s">
        <v>1075</v>
      </c>
      <c r="I47" s="15">
        <v>900155107</v>
      </c>
      <c r="J47" s="16" t="s">
        <v>1076</v>
      </c>
      <c r="K47" s="17">
        <v>352</v>
      </c>
      <c r="L47" s="18" t="s">
        <v>36</v>
      </c>
      <c r="M47" s="19">
        <v>23530</v>
      </c>
      <c r="N47" s="19">
        <v>0</v>
      </c>
      <c r="O47" s="19">
        <f t="shared" si="1"/>
        <v>8282560</v>
      </c>
      <c r="P47" s="17" t="s">
        <v>37</v>
      </c>
    </row>
    <row r="48" spans="1:16" x14ac:dyDescent="0.3">
      <c r="A48" s="9" t="s">
        <v>1091</v>
      </c>
      <c r="B48" s="10" t="s">
        <v>2048</v>
      </c>
      <c r="C48" s="11" t="s">
        <v>1096</v>
      </c>
      <c r="D48" s="12">
        <v>43927</v>
      </c>
      <c r="E48" s="12">
        <v>43928</v>
      </c>
      <c r="F48" s="13">
        <v>82970740</v>
      </c>
      <c r="G48" s="14">
        <v>0</v>
      </c>
      <c r="H48" s="9" t="s">
        <v>1097</v>
      </c>
      <c r="I48" s="15">
        <v>59311027</v>
      </c>
      <c r="J48" s="16" t="s">
        <v>1100</v>
      </c>
      <c r="K48" s="17">
        <v>467.4</v>
      </c>
      <c r="L48" s="18" t="s">
        <v>36</v>
      </c>
      <c r="M48" s="19">
        <v>16342.105263157895</v>
      </c>
      <c r="N48" s="19">
        <v>0</v>
      </c>
      <c r="O48" s="19">
        <f t="shared" si="1"/>
        <v>7638300</v>
      </c>
      <c r="P48" s="17" t="s">
        <v>37</v>
      </c>
    </row>
    <row r="49" spans="1:16" x14ac:dyDescent="0.3">
      <c r="A49" s="9" t="s">
        <v>1091</v>
      </c>
      <c r="B49" s="10" t="s">
        <v>2048</v>
      </c>
      <c r="C49" s="11" t="s">
        <v>1096</v>
      </c>
      <c r="D49" s="12">
        <v>43927</v>
      </c>
      <c r="E49" s="12">
        <v>43928</v>
      </c>
      <c r="F49" s="13">
        <v>82970740</v>
      </c>
      <c r="G49" s="14">
        <v>0</v>
      </c>
      <c r="H49" s="9" t="s">
        <v>1097</v>
      </c>
      <c r="I49" s="15">
        <v>59311027</v>
      </c>
      <c r="J49" s="16" t="s">
        <v>35</v>
      </c>
      <c r="K49" s="17">
        <v>7.5</v>
      </c>
      <c r="L49" s="18" t="s">
        <v>36</v>
      </c>
      <c r="M49" s="19">
        <v>27600</v>
      </c>
      <c r="N49" s="19">
        <v>0</v>
      </c>
      <c r="O49" s="19">
        <f t="shared" si="1"/>
        <v>207000</v>
      </c>
      <c r="P49" s="17" t="s">
        <v>37</v>
      </c>
    </row>
    <row r="50" spans="1:16" x14ac:dyDescent="0.3">
      <c r="A50" s="9" t="s">
        <v>1091</v>
      </c>
      <c r="B50" s="10" t="s">
        <v>2050</v>
      </c>
      <c r="C50" s="11" t="s">
        <v>1108</v>
      </c>
      <c r="D50" s="12">
        <v>43970</v>
      </c>
      <c r="E50" s="12">
        <v>43971</v>
      </c>
      <c r="F50" s="13">
        <v>5488560</v>
      </c>
      <c r="G50" s="14">
        <v>0</v>
      </c>
      <c r="H50" s="9" t="s">
        <v>1109</v>
      </c>
      <c r="I50" s="15">
        <v>901143417</v>
      </c>
      <c r="J50" s="16" t="s">
        <v>35</v>
      </c>
      <c r="K50" s="17">
        <v>302.39999999999998</v>
      </c>
      <c r="L50" s="18" t="s">
        <v>36</v>
      </c>
      <c r="M50" s="19">
        <v>18150</v>
      </c>
      <c r="N50" s="19">
        <v>0</v>
      </c>
      <c r="O50" s="19">
        <f t="shared" si="1"/>
        <v>5488560</v>
      </c>
      <c r="P50" s="17" t="s">
        <v>37</v>
      </c>
    </row>
    <row r="51" spans="1:16" x14ac:dyDescent="0.3">
      <c r="A51" s="9" t="s">
        <v>1091</v>
      </c>
      <c r="B51" s="10" t="s">
        <v>1121</v>
      </c>
      <c r="C51" s="11" t="s">
        <v>1120</v>
      </c>
      <c r="D51" s="12">
        <v>43970</v>
      </c>
      <c r="E51" s="12">
        <v>43970</v>
      </c>
      <c r="F51" s="13">
        <v>8422110</v>
      </c>
      <c r="G51" s="14">
        <v>0</v>
      </c>
      <c r="H51" s="9" t="s">
        <v>314</v>
      </c>
      <c r="I51" s="15">
        <v>10125834</v>
      </c>
      <c r="J51" s="16" t="s">
        <v>1122</v>
      </c>
      <c r="K51" s="17">
        <v>750</v>
      </c>
      <c r="L51" s="18" t="s">
        <v>36</v>
      </c>
      <c r="M51" s="19">
        <v>11229.48</v>
      </c>
      <c r="N51" s="19">
        <v>0</v>
      </c>
      <c r="O51" s="19">
        <f t="shared" si="1"/>
        <v>8422110</v>
      </c>
      <c r="P51" s="17" t="s">
        <v>37</v>
      </c>
    </row>
    <row r="52" spans="1:16" x14ac:dyDescent="0.3">
      <c r="A52" s="9" t="s">
        <v>1091</v>
      </c>
      <c r="B52" s="10" t="s">
        <v>1127</v>
      </c>
      <c r="C52" s="11" t="s">
        <v>1125</v>
      </c>
      <c r="D52" s="12">
        <v>43970</v>
      </c>
      <c r="E52" s="12">
        <v>43970</v>
      </c>
      <c r="F52" s="13">
        <v>12512562</v>
      </c>
      <c r="G52" s="14">
        <v>0</v>
      </c>
      <c r="H52" s="9" t="s">
        <v>60</v>
      </c>
      <c r="I52" s="15">
        <v>8300013381</v>
      </c>
      <c r="J52" s="16" t="s">
        <v>1128</v>
      </c>
      <c r="K52" s="17">
        <v>1135.5</v>
      </c>
      <c r="L52" s="18" t="s">
        <v>36</v>
      </c>
      <c r="M52" s="19">
        <v>11019.429326287978</v>
      </c>
      <c r="N52" s="19">
        <v>0</v>
      </c>
      <c r="O52" s="19">
        <f t="shared" si="1"/>
        <v>12512562</v>
      </c>
      <c r="P52" s="17" t="s">
        <v>37</v>
      </c>
    </row>
    <row r="53" spans="1:16" x14ac:dyDescent="0.3">
      <c r="A53" s="9" t="s">
        <v>1091</v>
      </c>
      <c r="B53" s="10" t="s">
        <v>1129</v>
      </c>
      <c r="C53" s="11" t="s">
        <v>1125</v>
      </c>
      <c r="D53" s="12">
        <v>43972</v>
      </c>
      <c r="E53" s="12">
        <v>43972</v>
      </c>
      <c r="F53" s="13">
        <v>2924622</v>
      </c>
      <c r="G53" s="14">
        <v>0</v>
      </c>
      <c r="H53" s="9" t="s">
        <v>359</v>
      </c>
      <c r="I53" s="15">
        <v>900704052</v>
      </c>
      <c r="J53" s="16" t="s">
        <v>1130</v>
      </c>
      <c r="K53" s="17">
        <v>150</v>
      </c>
      <c r="L53" s="18" t="s">
        <v>36</v>
      </c>
      <c r="M53" s="19">
        <v>19497.48</v>
      </c>
      <c r="N53" s="19">
        <v>0</v>
      </c>
      <c r="O53" s="19">
        <f t="shared" si="1"/>
        <v>2924622</v>
      </c>
      <c r="P53" s="17" t="s">
        <v>37</v>
      </c>
    </row>
    <row r="54" spans="1:16" x14ac:dyDescent="0.3">
      <c r="A54" s="9" t="s">
        <v>1091</v>
      </c>
      <c r="B54" s="10" t="s">
        <v>1268</v>
      </c>
      <c r="C54" s="11" t="s">
        <v>1269</v>
      </c>
      <c r="D54" s="12">
        <v>44169</v>
      </c>
      <c r="E54" s="12">
        <v>44169</v>
      </c>
      <c r="F54" s="13">
        <v>23063405</v>
      </c>
      <c r="G54" s="14">
        <v>0</v>
      </c>
      <c r="H54" s="9" t="s">
        <v>60</v>
      </c>
      <c r="I54" s="15">
        <v>830001338</v>
      </c>
      <c r="J54" s="16" t="s">
        <v>1271</v>
      </c>
      <c r="K54" s="17">
        <f>800*3.75</f>
        <v>3000</v>
      </c>
      <c r="L54" s="18" t="s">
        <v>36</v>
      </c>
      <c r="M54" s="19">
        <f>12120.6/3.75</f>
        <v>3232.1600000000003</v>
      </c>
      <c r="N54" s="19">
        <v>0</v>
      </c>
      <c r="O54" s="19">
        <f t="shared" si="1"/>
        <v>9696480</v>
      </c>
      <c r="P54" s="17" t="s">
        <v>37</v>
      </c>
    </row>
    <row r="55" spans="1:16" x14ac:dyDescent="0.3">
      <c r="A55" s="9" t="s">
        <v>1091</v>
      </c>
      <c r="B55" s="10" t="s">
        <v>1268</v>
      </c>
      <c r="C55" s="11" t="s">
        <v>1269</v>
      </c>
      <c r="D55" s="12">
        <v>44169</v>
      </c>
      <c r="E55" s="12">
        <v>44169</v>
      </c>
      <c r="F55" s="13">
        <v>23063405</v>
      </c>
      <c r="G55" s="14">
        <v>0</v>
      </c>
      <c r="H55" s="9" t="s">
        <v>60</v>
      </c>
      <c r="I55" s="15">
        <v>830001338</v>
      </c>
      <c r="J55" s="16" t="s">
        <v>1272</v>
      </c>
      <c r="K55" s="17">
        <v>650</v>
      </c>
      <c r="L55" s="18" t="s">
        <v>36</v>
      </c>
      <c r="M55" s="19">
        <v>4169.8500000000004</v>
      </c>
      <c r="N55" s="19">
        <v>0</v>
      </c>
      <c r="O55" s="19">
        <f t="shared" si="1"/>
        <v>2710402.5000000005</v>
      </c>
      <c r="P55" s="17" t="s">
        <v>37</v>
      </c>
    </row>
    <row r="56" spans="1:16" x14ac:dyDescent="0.3">
      <c r="A56" s="9" t="s">
        <v>1091</v>
      </c>
      <c r="B56" s="10" t="s">
        <v>1287</v>
      </c>
      <c r="C56" s="11" t="s">
        <v>1269</v>
      </c>
      <c r="D56" s="12">
        <v>44176</v>
      </c>
      <c r="E56" s="12">
        <v>44176</v>
      </c>
      <c r="F56" s="13">
        <v>24108482</v>
      </c>
      <c r="G56" s="14">
        <v>0</v>
      </c>
      <c r="H56" s="9" t="s">
        <v>688</v>
      </c>
      <c r="I56" s="15">
        <v>830108770</v>
      </c>
      <c r="J56" s="16" t="s">
        <v>1271</v>
      </c>
      <c r="K56" s="17">
        <f>904*3.75</f>
        <v>3390</v>
      </c>
      <c r="L56" s="18" t="s">
        <v>36</v>
      </c>
      <c r="M56" s="19">
        <f>12783.93/3.75</f>
        <v>3409.0480000000002</v>
      </c>
      <c r="N56" s="19">
        <v>0</v>
      </c>
      <c r="O56" s="19">
        <f t="shared" si="1"/>
        <v>11556672.720000001</v>
      </c>
      <c r="P56" s="17" t="s">
        <v>37</v>
      </c>
    </row>
    <row r="57" spans="1:16" x14ac:dyDescent="0.3">
      <c r="A57" s="9" t="s">
        <v>1291</v>
      </c>
      <c r="B57" s="10" t="s">
        <v>1292</v>
      </c>
      <c r="C57" s="11" t="s">
        <v>1293</v>
      </c>
      <c r="D57" s="12">
        <v>43915</v>
      </c>
      <c r="E57" s="12">
        <v>43916</v>
      </c>
      <c r="F57" s="13">
        <v>79231499</v>
      </c>
      <c r="G57" s="14">
        <v>0</v>
      </c>
      <c r="H57" s="9" t="s">
        <v>1294</v>
      </c>
      <c r="I57" s="15">
        <v>900916649</v>
      </c>
      <c r="J57" s="16" t="s">
        <v>1297</v>
      </c>
      <c r="K57" s="17">
        <v>456</v>
      </c>
      <c r="L57" s="18" t="s">
        <v>36</v>
      </c>
      <c r="M57" s="19">
        <v>26315.789473600002</v>
      </c>
      <c r="N57" s="19">
        <v>0</v>
      </c>
      <c r="O57" s="19">
        <f t="shared" si="1"/>
        <v>11999999.999961602</v>
      </c>
      <c r="P57" s="17" t="s">
        <v>37</v>
      </c>
    </row>
    <row r="58" spans="1:16" x14ac:dyDescent="0.3">
      <c r="A58" s="9" t="s">
        <v>1291</v>
      </c>
      <c r="B58" s="10">
        <v>49492</v>
      </c>
      <c r="C58" s="11" t="s">
        <v>2303</v>
      </c>
      <c r="D58" s="12">
        <v>43980</v>
      </c>
      <c r="E58" s="12">
        <v>43980</v>
      </c>
      <c r="F58" s="13">
        <v>19920000</v>
      </c>
      <c r="G58" s="14">
        <v>0</v>
      </c>
      <c r="H58" s="9" t="s">
        <v>2172</v>
      </c>
      <c r="I58" s="15">
        <v>830037946</v>
      </c>
      <c r="J58" s="16" t="s">
        <v>2176</v>
      </c>
      <c r="K58" s="17">
        <f>400*3.8</f>
        <v>1520</v>
      </c>
      <c r="L58" s="18" t="s">
        <v>36</v>
      </c>
      <c r="M58" s="19">
        <f>49800/3.8</f>
        <v>13105.263157894737</v>
      </c>
      <c r="N58" s="19">
        <v>0</v>
      </c>
      <c r="O58" s="19">
        <f t="shared" si="1"/>
        <v>19920000</v>
      </c>
      <c r="P58" s="17" t="s">
        <v>37</v>
      </c>
    </row>
    <row r="59" spans="1:16" x14ac:dyDescent="0.3">
      <c r="A59" s="9" t="s">
        <v>1291</v>
      </c>
      <c r="B59" s="10">
        <v>62745</v>
      </c>
      <c r="C59" s="11" t="s">
        <v>2241</v>
      </c>
      <c r="D59" s="12">
        <v>44188</v>
      </c>
      <c r="E59" s="12">
        <v>44188</v>
      </c>
      <c r="F59" s="13">
        <v>4450000</v>
      </c>
      <c r="G59" s="14">
        <v>0</v>
      </c>
      <c r="H59" s="9" t="s">
        <v>158</v>
      </c>
      <c r="I59" s="15">
        <v>830001338</v>
      </c>
      <c r="J59" s="16" t="s">
        <v>2242</v>
      </c>
      <c r="K59" s="17">
        <v>1000</v>
      </c>
      <c r="L59" s="18" t="s">
        <v>36</v>
      </c>
      <c r="M59" s="19">
        <v>4450</v>
      </c>
      <c r="N59" s="19">
        <v>0</v>
      </c>
      <c r="O59" s="19">
        <f t="shared" si="1"/>
        <v>4450000</v>
      </c>
      <c r="P59" s="17" t="s">
        <v>37</v>
      </c>
    </row>
    <row r="60" spans="1:16" x14ac:dyDescent="0.3">
      <c r="A60" s="9" t="s">
        <v>1306</v>
      </c>
      <c r="B60" s="10" t="s">
        <v>1344</v>
      </c>
      <c r="C60" s="11" t="s">
        <v>1345</v>
      </c>
      <c r="D60" s="12">
        <v>43923</v>
      </c>
      <c r="E60" s="12">
        <v>43924</v>
      </c>
      <c r="F60" s="13">
        <v>3441440</v>
      </c>
      <c r="G60" s="14">
        <v>0</v>
      </c>
      <c r="H60" s="9" t="s">
        <v>1340</v>
      </c>
      <c r="I60" s="15">
        <v>815004985</v>
      </c>
      <c r="J60" s="16" t="s">
        <v>35</v>
      </c>
      <c r="K60" s="17">
        <v>80</v>
      </c>
      <c r="L60" s="18" t="s">
        <v>36</v>
      </c>
      <c r="M60" s="19">
        <v>43018</v>
      </c>
      <c r="N60" s="19">
        <v>0</v>
      </c>
      <c r="O60" s="19">
        <f t="shared" si="1"/>
        <v>3441440</v>
      </c>
      <c r="P60" s="17" t="s">
        <v>37</v>
      </c>
    </row>
    <row r="61" spans="1:16" x14ac:dyDescent="0.3">
      <c r="A61" s="9" t="s">
        <v>1306</v>
      </c>
      <c r="B61" s="10" t="s">
        <v>1353</v>
      </c>
      <c r="C61" s="11" t="s">
        <v>1354</v>
      </c>
      <c r="D61" s="12">
        <v>43941</v>
      </c>
      <c r="E61" s="12">
        <v>43942</v>
      </c>
      <c r="F61" s="13">
        <v>7770000</v>
      </c>
      <c r="G61" s="14">
        <v>0</v>
      </c>
      <c r="H61" s="9" t="s">
        <v>1347</v>
      </c>
      <c r="I61" s="15">
        <v>901285199</v>
      </c>
      <c r="J61" s="16" t="s">
        <v>1355</v>
      </c>
      <c r="K61" s="17">
        <v>400</v>
      </c>
      <c r="L61" s="18" t="s">
        <v>36</v>
      </c>
      <c r="M61" s="19">
        <v>18000</v>
      </c>
      <c r="N61" s="19">
        <v>0</v>
      </c>
      <c r="O61" s="19">
        <f t="shared" si="1"/>
        <v>7200000</v>
      </c>
      <c r="P61" s="17" t="s">
        <v>37</v>
      </c>
    </row>
    <row r="62" spans="1:16" x14ac:dyDescent="0.3">
      <c r="A62" s="9" t="s">
        <v>1306</v>
      </c>
      <c r="B62" s="10" t="s">
        <v>2060</v>
      </c>
      <c r="C62" s="11" t="s">
        <v>1373</v>
      </c>
      <c r="D62" s="12">
        <v>43973</v>
      </c>
      <c r="E62" s="12">
        <v>43973</v>
      </c>
      <c r="F62" s="13">
        <v>4502668</v>
      </c>
      <c r="G62" s="14">
        <v>0</v>
      </c>
      <c r="H62" s="9" t="s">
        <v>959</v>
      </c>
      <c r="I62" s="15">
        <v>805023817</v>
      </c>
      <c r="J62" s="16" t="s">
        <v>37</v>
      </c>
      <c r="K62" s="17">
        <v>320</v>
      </c>
      <c r="L62" s="18" t="s">
        <v>36</v>
      </c>
      <c r="M62" s="19">
        <v>14070.8375</v>
      </c>
      <c r="N62" s="19">
        <v>0</v>
      </c>
      <c r="O62" s="19">
        <f t="shared" si="1"/>
        <v>4502668</v>
      </c>
      <c r="P62" s="17" t="s">
        <v>37</v>
      </c>
    </row>
    <row r="63" spans="1:16" x14ac:dyDescent="0.3">
      <c r="A63" s="9" t="s">
        <v>1306</v>
      </c>
      <c r="B63" s="10" t="s">
        <v>2068</v>
      </c>
      <c r="C63" s="11" t="s">
        <v>1820</v>
      </c>
      <c r="D63" s="12">
        <v>44007</v>
      </c>
      <c r="E63" s="12">
        <v>44007</v>
      </c>
      <c r="F63" s="13">
        <v>38826000</v>
      </c>
      <c r="G63" s="14">
        <v>0</v>
      </c>
      <c r="H63" s="9" t="s">
        <v>401</v>
      </c>
      <c r="I63" s="15">
        <v>901211678</v>
      </c>
      <c r="J63" s="16" t="s">
        <v>925</v>
      </c>
      <c r="K63" s="17">
        <v>3000</v>
      </c>
      <c r="L63" s="18" t="s">
        <v>36</v>
      </c>
      <c r="M63" s="19">
        <v>12942</v>
      </c>
      <c r="N63" s="19">
        <v>0</v>
      </c>
      <c r="O63" s="19">
        <f t="shared" si="1"/>
        <v>38826000</v>
      </c>
      <c r="P63" s="17" t="s">
        <v>37</v>
      </c>
    </row>
    <row r="64" spans="1:16" x14ac:dyDescent="0.3">
      <c r="A64" s="9" t="s">
        <v>1306</v>
      </c>
      <c r="B64" s="10" t="s">
        <v>1387</v>
      </c>
      <c r="C64" s="11" t="s">
        <v>1388</v>
      </c>
      <c r="D64" s="12">
        <v>44187</v>
      </c>
      <c r="E64" s="12">
        <v>44188</v>
      </c>
      <c r="F64" s="13">
        <v>26108850</v>
      </c>
      <c r="G64" s="14">
        <v>0</v>
      </c>
      <c r="H64" s="9" t="s">
        <v>1389</v>
      </c>
      <c r="I64" s="15" t="s">
        <v>1390</v>
      </c>
      <c r="J64" s="16" t="s">
        <v>1392</v>
      </c>
      <c r="K64" s="17">
        <f>1575/2</f>
        <v>787.5</v>
      </c>
      <c r="L64" s="18" t="s">
        <v>36</v>
      </c>
      <c r="M64" s="19">
        <f>4850*2</f>
        <v>9700</v>
      </c>
      <c r="N64" s="19">
        <v>0</v>
      </c>
      <c r="O64" s="19">
        <f t="shared" si="1"/>
        <v>7638750</v>
      </c>
      <c r="P64" s="17" t="s">
        <v>37</v>
      </c>
    </row>
    <row r="65" spans="1:16" x14ac:dyDescent="0.3">
      <c r="A65" s="9" t="s">
        <v>1437</v>
      </c>
      <c r="B65" s="10" t="s">
        <v>2070</v>
      </c>
      <c r="C65" s="11" t="s">
        <v>1438</v>
      </c>
      <c r="D65" s="12">
        <v>43477</v>
      </c>
      <c r="E65" s="12">
        <v>43800</v>
      </c>
      <c r="F65" s="13">
        <v>0</v>
      </c>
      <c r="G65" s="14">
        <v>67434392</v>
      </c>
      <c r="H65" s="9" t="s">
        <v>1439</v>
      </c>
      <c r="I65" s="15">
        <v>811044253</v>
      </c>
      <c r="J65" s="16" t="s">
        <v>1444</v>
      </c>
      <c r="K65" s="17">
        <v>168</v>
      </c>
      <c r="L65" s="18" t="s">
        <v>36</v>
      </c>
      <c r="M65" s="19">
        <v>19200</v>
      </c>
      <c r="N65" s="19">
        <v>0</v>
      </c>
      <c r="O65" s="19">
        <f t="shared" si="1"/>
        <v>3225600</v>
      </c>
      <c r="P65" s="17" t="s">
        <v>37</v>
      </c>
    </row>
    <row r="66" spans="1:16" x14ac:dyDescent="0.3">
      <c r="A66" s="9" t="s">
        <v>1437</v>
      </c>
      <c r="B66" s="10" t="s">
        <v>2074</v>
      </c>
      <c r="C66" s="11" t="s">
        <v>1824</v>
      </c>
      <c r="D66" s="12">
        <v>44155</v>
      </c>
      <c r="E66" s="12">
        <v>44155</v>
      </c>
      <c r="F66" s="13">
        <v>15004982.41</v>
      </c>
      <c r="G66" s="14">
        <v>0</v>
      </c>
      <c r="H66" s="9" t="s">
        <v>1462</v>
      </c>
      <c r="I66" s="15" t="s">
        <v>1413</v>
      </c>
      <c r="J66" s="16" t="s">
        <v>1463</v>
      </c>
      <c r="K66" s="17">
        <v>500</v>
      </c>
      <c r="L66" s="18" t="s">
        <v>36</v>
      </c>
      <c r="M66" s="19">
        <v>4800.5600000000004</v>
      </c>
      <c r="N66" s="19">
        <v>0</v>
      </c>
      <c r="O66" s="19">
        <f t="shared" ref="O66:O80" si="5">K66*(M66+N66)</f>
        <v>2400280</v>
      </c>
      <c r="P66" s="17" t="s">
        <v>37</v>
      </c>
    </row>
    <row r="67" spans="1:16" x14ac:dyDescent="0.3">
      <c r="A67" s="9" t="s">
        <v>1472</v>
      </c>
      <c r="B67" s="10" t="s">
        <v>1496</v>
      </c>
      <c r="C67" s="11" t="s">
        <v>1497</v>
      </c>
      <c r="D67" s="12">
        <v>43979</v>
      </c>
      <c r="E67" s="12">
        <v>43980</v>
      </c>
      <c r="F67" s="13">
        <v>12842000</v>
      </c>
      <c r="G67" s="14">
        <v>0</v>
      </c>
      <c r="H67" s="9" t="s">
        <v>1498</v>
      </c>
      <c r="I67" s="15">
        <v>900151140</v>
      </c>
      <c r="J67" s="16" t="s">
        <v>1501</v>
      </c>
      <c r="K67" s="17">
        <v>130.5</v>
      </c>
      <c r="L67" s="18" t="s">
        <v>36</v>
      </c>
      <c r="M67" s="19">
        <v>16667</v>
      </c>
      <c r="N67" s="19">
        <v>0</v>
      </c>
      <c r="O67" s="19">
        <f t="shared" si="5"/>
        <v>2175043.5</v>
      </c>
      <c r="P67" s="17" t="s">
        <v>37</v>
      </c>
    </row>
    <row r="68" spans="1:16" x14ac:dyDescent="0.3">
      <c r="A68" s="9" t="s">
        <v>1472</v>
      </c>
      <c r="B68" s="10" t="s">
        <v>1550</v>
      </c>
      <c r="C68" s="11" t="s">
        <v>1551</v>
      </c>
      <c r="D68" s="12">
        <v>43998</v>
      </c>
      <c r="E68" s="12">
        <v>43998</v>
      </c>
      <c r="F68" s="13">
        <v>7473404</v>
      </c>
      <c r="G68" s="14">
        <v>0</v>
      </c>
      <c r="H68" s="9" t="s">
        <v>359</v>
      </c>
      <c r="I68" s="15">
        <v>900704052</v>
      </c>
      <c r="J68" s="16" t="s">
        <v>165</v>
      </c>
      <c r="K68" s="17">
        <v>549</v>
      </c>
      <c r="L68" s="18" t="s">
        <v>36</v>
      </c>
      <c r="M68" s="19">
        <v>12648</v>
      </c>
      <c r="N68" s="19">
        <v>0</v>
      </c>
      <c r="O68" s="19">
        <f t="shared" si="5"/>
        <v>6943752</v>
      </c>
      <c r="P68" s="17" t="s">
        <v>37</v>
      </c>
    </row>
    <row r="69" spans="1:16" x14ac:dyDescent="0.3">
      <c r="A69" s="9" t="s">
        <v>1472</v>
      </c>
      <c r="B69" s="10" t="s">
        <v>1561</v>
      </c>
      <c r="C69" s="11" t="s">
        <v>1562</v>
      </c>
      <c r="D69" s="12">
        <v>43770</v>
      </c>
      <c r="E69" s="12">
        <v>43906</v>
      </c>
      <c r="F69" s="13">
        <v>0</v>
      </c>
      <c r="G69" s="14">
        <v>31068000</v>
      </c>
      <c r="H69" s="9" t="s">
        <v>1563</v>
      </c>
      <c r="I69" s="15">
        <v>812000152</v>
      </c>
      <c r="J69" s="16" t="s">
        <v>1564</v>
      </c>
      <c r="K69" s="17">
        <v>400</v>
      </c>
      <c r="L69" s="18" t="s">
        <v>36</v>
      </c>
      <c r="M69" s="19">
        <v>11000</v>
      </c>
      <c r="N69" s="19">
        <v>0</v>
      </c>
      <c r="O69" s="19">
        <f t="shared" si="5"/>
        <v>4400000</v>
      </c>
      <c r="P69" s="17" t="s">
        <v>37</v>
      </c>
    </row>
    <row r="70" spans="1:16" x14ac:dyDescent="0.3">
      <c r="A70" s="9" t="s">
        <v>1472</v>
      </c>
      <c r="B70" s="10" t="s">
        <v>1561</v>
      </c>
      <c r="C70" s="11" t="s">
        <v>1562</v>
      </c>
      <c r="D70" s="12">
        <v>43770</v>
      </c>
      <c r="E70" s="12">
        <v>43936</v>
      </c>
      <c r="F70" s="13">
        <v>0</v>
      </c>
      <c r="G70" s="14">
        <v>31068000</v>
      </c>
      <c r="H70" s="9" t="s">
        <v>1563</v>
      </c>
      <c r="I70" s="15">
        <v>812000152</v>
      </c>
      <c r="J70" s="16" t="s">
        <v>1564</v>
      </c>
      <c r="K70" s="17">
        <v>400</v>
      </c>
      <c r="L70" s="29" t="s">
        <v>36</v>
      </c>
      <c r="M70" s="19">
        <v>11000</v>
      </c>
      <c r="N70" s="19">
        <v>0</v>
      </c>
      <c r="O70" s="19">
        <f t="shared" si="5"/>
        <v>4400000</v>
      </c>
      <c r="P70" s="17" t="s">
        <v>37</v>
      </c>
    </row>
    <row r="71" spans="1:16" x14ac:dyDescent="0.3">
      <c r="A71" s="9" t="s">
        <v>1571</v>
      </c>
      <c r="B71" s="10" t="s">
        <v>2078</v>
      </c>
      <c r="C71" s="11" t="s">
        <v>1572</v>
      </c>
      <c r="D71" s="12">
        <v>43908</v>
      </c>
      <c r="E71" s="12">
        <v>43908</v>
      </c>
      <c r="F71" s="13">
        <v>11223366</v>
      </c>
      <c r="G71" s="14">
        <v>0</v>
      </c>
      <c r="H71" s="9" t="s">
        <v>19</v>
      </c>
      <c r="I71" s="15">
        <v>901095058</v>
      </c>
      <c r="J71" s="16" t="s">
        <v>1574</v>
      </c>
      <c r="K71" s="17">
        <v>160</v>
      </c>
      <c r="L71" s="29" t="s">
        <v>36</v>
      </c>
      <c r="M71" s="19">
        <v>29571.25</v>
      </c>
      <c r="N71" s="19">
        <f t="shared" ref="N71:N72" si="6">M71*0.19</f>
        <v>5618.5375000000004</v>
      </c>
      <c r="O71" s="19">
        <f t="shared" si="5"/>
        <v>5630366</v>
      </c>
      <c r="P71" s="17" t="s">
        <v>37</v>
      </c>
    </row>
    <row r="72" spans="1:16" x14ac:dyDescent="0.3">
      <c r="A72" s="9" t="s">
        <v>1571</v>
      </c>
      <c r="B72" s="10" t="s">
        <v>2079</v>
      </c>
      <c r="C72" s="11" t="s">
        <v>1575</v>
      </c>
      <c r="D72" s="12">
        <v>43909</v>
      </c>
      <c r="E72" s="12">
        <v>43909</v>
      </c>
      <c r="F72" s="13">
        <v>29028000</v>
      </c>
      <c r="G72" s="14">
        <v>0</v>
      </c>
      <c r="H72" s="9" t="s">
        <v>1576</v>
      </c>
      <c r="I72" s="15">
        <v>900837029</v>
      </c>
      <c r="J72" s="16" t="s">
        <v>1577</v>
      </c>
      <c r="K72" s="17">
        <v>200</v>
      </c>
      <c r="L72" s="18" t="s">
        <v>36</v>
      </c>
      <c r="M72" s="19">
        <v>25000</v>
      </c>
      <c r="N72" s="19">
        <f t="shared" si="6"/>
        <v>4750</v>
      </c>
      <c r="O72" s="19">
        <f t="shared" si="5"/>
        <v>5950000</v>
      </c>
      <c r="P72" s="17" t="s">
        <v>37</v>
      </c>
    </row>
    <row r="73" spans="1:16" x14ac:dyDescent="0.3">
      <c r="A73" s="9" t="s">
        <v>1571</v>
      </c>
      <c r="B73" s="10" t="s">
        <v>2104</v>
      </c>
      <c r="C73" s="11" t="s">
        <v>1828</v>
      </c>
      <c r="D73" s="12">
        <v>44099</v>
      </c>
      <c r="E73" s="12">
        <v>44099</v>
      </c>
      <c r="F73" s="13">
        <v>32218793.190000001</v>
      </c>
      <c r="G73" s="14">
        <v>0</v>
      </c>
      <c r="H73" s="9" t="s">
        <v>964</v>
      </c>
      <c r="I73" s="15">
        <v>8300013381</v>
      </c>
      <c r="J73" s="16" t="s">
        <v>1621</v>
      </c>
      <c r="K73" s="17">
        <v>4000</v>
      </c>
      <c r="L73" s="18" t="s">
        <v>36</v>
      </c>
      <c r="M73" s="19">
        <v>4680.8100000000004</v>
      </c>
      <c r="N73" s="19">
        <v>0</v>
      </c>
      <c r="O73" s="19">
        <f t="shared" si="5"/>
        <v>18723240</v>
      </c>
      <c r="P73" s="17" t="s">
        <v>37</v>
      </c>
    </row>
    <row r="74" spans="1:16" x14ac:dyDescent="0.3">
      <c r="A74" s="9" t="s">
        <v>1629</v>
      </c>
      <c r="B74" s="10" t="s">
        <v>1646</v>
      </c>
      <c r="C74" s="11" t="s">
        <v>1647</v>
      </c>
      <c r="D74" s="12">
        <v>43955</v>
      </c>
      <c r="E74" s="12">
        <v>43955</v>
      </c>
      <c r="F74" s="13">
        <v>29306033.280000001</v>
      </c>
      <c r="G74" s="14">
        <v>0</v>
      </c>
      <c r="H74" s="9" t="s">
        <v>603</v>
      </c>
      <c r="I74" s="15">
        <v>80736955</v>
      </c>
      <c r="J74" s="16" t="s">
        <v>1648</v>
      </c>
      <c r="K74" s="17">
        <v>1656</v>
      </c>
      <c r="L74" s="18" t="s">
        <v>36</v>
      </c>
      <c r="M74" s="19">
        <v>17696.88</v>
      </c>
      <c r="N74" s="19">
        <v>0</v>
      </c>
      <c r="O74" s="19">
        <f t="shared" si="5"/>
        <v>29306033.280000001</v>
      </c>
      <c r="P74" s="17" t="s">
        <v>37</v>
      </c>
    </row>
    <row r="75" spans="1:16" x14ac:dyDescent="0.3">
      <c r="A75" s="9" t="s">
        <v>1629</v>
      </c>
      <c r="B75" s="10" t="s">
        <v>1658</v>
      </c>
      <c r="C75" s="11" t="s">
        <v>1659</v>
      </c>
      <c r="D75" s="12">
        <v>43965</v>
      </c>
      <c r="E75" s="12">
        <v>43965</v>
      </c>
      <c r="F75" s="13">
        <v>3784376</v>
      </c>
      <c r="G75" s="14">
        <v>0</v>
      </c>
      <c r="H75" s="9" t="s">
        <v>356</v>
      </c>
      <c r="I75" s="15">
        <v>900300970</v>
      </c>
      <c r="J75" s="16" t="s">
        <v>1660</v>
      </c>
      <c r="K75" s="17">
        <v>200</v>
      </c>
      <c r="L75" s="18" t="s">
        <v>36</v>
      </c>
      <c r="M75" s="19">
        <v>18921.88</v>
      </c>
      <c r="N75" s="19">
        <v>0</v>
      </c>
      <c r="O75" s="19">
        <f t="shared" si="5"/>
        <v>3784376</v>
      </c>
      <c r="P75" s="17" t="s">
        <v>37</v>
      </c>
    </row>
    <row r="76" spans="1:16" x14ac:dyDescent="0.3">
      <c r="A76" s="9" t="s">
        <v>1629</v>
      </c>
      <c r="B76" s="10" t="s">
        <v>2131</v>
      </c>
      <c r="C76" s="11" t="s">
        <v>1843</v>
      </c>
      <c r="D76" s="12">
        <v>44178</v>
      </c>
      <c r="E76" s="12">
        <v>44193</v>
      </c>
      <c r="F76" s="13">
        <v>16860000</v>
      </c>
      <c r="G76" s="14">
        <v>0</v>
      </c>
      <c r="H76" s="9" t="s">
        <v>1462</v>
      </c>
      <c r="I76" s="15">
        <v>19254921</v>
      </c>
      <c r="J76" s="16" t="s">
        <v>1690</v>
      </c>
      <c r="K76" s="17">
        <v>2000</v>
      </c>
      <c r="L76" s="18" t="s">
        <v>36</v>
      </c>
      <c r="M76" s="19">
        <v>4455</v>
      </c>
      <c r="N76" s="19">
        <v>0</v>
      </c>
      <c r="O76" s="19">
        <f t="shared" si="5"/>
        <v>8910000</v>
      </c>
      <c r="P76" s="17" t="s">
        <v>37</v>
      </c>
    </row>
    <row r="77" spans="1:16" x14ac:dyDescent="0.3">
      <c r="A77" s="9" t="s">
        <v>1629</v>
      </c>
      <c r="B77" s="10" t="s">
        <v>2133</v>
      </c>
      <c r="C77" s="11" t="s">
        <v>1845</v>
      </c>
      <c r="D77" s="12">
        <v>44178</v>
      </c>
      <c r="E77" s="12">
        <v>44193</v>
      </c>
      <c r="F77" s="13">
        <v>11779699.449999999</v>
      </c>
      <c r="G77" s="14">
        <v>0</v>
      </c>
      <c r="H77" s="9" t="s">
        <v>1462</v>
      </c>
      <c r="I77" s="15">
        <v>19254921</v>
      </c>
      <c r="J77" s="16" t="s">
        <v>1272</v>
      </c>
      <c r="K77" s="17">
        <v>1200</v>
      </c>
      <c r="L77" s="18" t="s">
        <v>36</v>
      </c>
      <c r="M77" s="19">
        <v>4640.63</v>
      </c>
      <c r="N77" s="19">
        <v>0</v>
      </c>
      <c r="O77" s="19">
        <f t="shared" si="5"/>
        <v>5568756</v>
      </c>
      <c r="P77" s="17" t="s">
        <v>37</v>
      </c>
    </row>
    <row r="78" spans="1:16" x14ac:dyDescent="0.3">
      <c r="A78" s="9" t="s">
        <v>1692</v>
      </c>
      <c r="B78" s="10" t="s">
        <v>1693</v>
      </c>
      <c r="C78" s="11" t="s">
        <v>1694</v>
      </c>
      <c r="D78" s="12">
        <v>43914</v>
      </c>
      <c r="E78" s="12">
        <v>43914</v>
      </c>
      <c r="F78" s="13">
        <v>6674000</v>
      </c>
      <c r="G78" s="14">
        <v>0</v>
      </c>
      <c r="H78" s="9" t="s">
        <v>1695</v>
      </c>
      <c r="I78" s="15">
        <v>901244133</v>
      </c>
      <c r="J78" s="16" t="s">
        <v>1696</v>
      </c>
      <c r="K78" s="17">
        <v>220</v>
      </c>
      <c r="L78" s="18" t="s">
        <v>36</v>
      </c>
      <c r="M78" s="19">
        <v>25126.050420168067</v>
      </c>
      <c r="N78" s="19">
        <f t="shared" ref="N78" si="7">M78*0.19</f>
        <v>4773.9495798319331</v>
      </c>
      <c r="O78" s="19">
        <f t="shared" si="5"/>
        <v>6578000</v>
      </c>
      <c r="P78" s="17" t="s">
        <v>37</v>
      </c>
    </row>
    <row r="79" spans="1:16" x14ac:dyDescent="0.3">
      <c r="A79" s="9" t="s">
        <v>1692</v>
      </c>
      <c r="B79" s="10" t="s">
        <v>1707</v>
      </c>
      <c r="C79" s="11" t="s">
        <v>1708</v>
      </c>
      <c r="D79" s="12">
        <v>43965</v>
      </c>
      <c r="E79" s="12">
        <v>43965</v>
      </c>
      <c r="F79" s="13">
        <v>6139500</v>
      </c>
      <c r="G79" s="14">
        <v>0</v>
      </c>
      <c r="H79" s="9" t="s">
        <v>356</v>
      </c>
      <c r="I79" s="15">
        <v>900300970</v>
      </c>
      <c r="J79" s="16" t="s">
        <v>1709</v>
      </c>
      <c r="K79" s="17">
        <v>200</v>
      </c>
      <c r="L79" s="18" t="s">
        <v>36</v>
      </c>
      <c r="M79" s="19">
        <v>15525</v>
      </c>
      <c r="N79" s="19">
        <v>0</v>
      </c>
      <c r="O79" s="19">
        <f t="shared" si="5"/>
        <v>3105000</v>
      </c>
      <c r="P79" s="17" t="s">
        <v>37</v>
      </c>
    </row>
    <row r="80" spans="1:16" x14ac:dyDescent="0.3">
      <c r="A80" s="9" t="s">
        <v>1692</v>
      </c>
      <c r="B80" s="10" t="s">
        <v>2149</v>
      </c>
      <c r="C80" s="11" t="s">
        <v>2163</v>
      </c>
      <c r="D80" s="12">
        <v>44161</v>
      </c>
      <c r="E80" s="12">
        <v>44161</v>
      </c>
      <c r="F80" s="13">
        <v>2814570</v>
      </c>
      <c r="G80" s="14">
        <v>0</v>
      </c>
      <c r="H80" s="9" t="s">
        <v>964</v>
      </c>
      <c r="I80" s="15">
        <v>830001338</v>
      </c>
      <c r="J80" s="16" t="s">
        <v>37</v>
      </c>
      <c r="K80" s="17">
        <v>340</v>
      </c>
      <c r="L80" s="18" t="s">
        <v>36</v>
      </c>
      <c r="M80" s="19">
        <v>4149</v>
      </c>
      <c r="N80" s="19">
        <v>0</v>
      </c>
      <c r="O80" s="19">
        <f t="shared" si="5"/>
        <v>1410660</v>
      </c>
      <c r="P80" s="17" t="s">
        <v>37</v>
      </c>
    </row>
  </sheetData>
  <dataValidations count="14">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18 E28:E30 A4:B4 E33:E35 D4:I4 D2:I2 E12:E14 E16 D5:E5 G76:G77 B2 E9:E10 E43 E74 E72 E64:E68 A2:A3 E60:E61 D75:I75 A75:B75 D78:I79 A78:B79">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la orden (Formato AAAA/MM/DD)." sqref="D17:E17 D36:E42 D76:D77 D3:E3 D44:E57 D11:E11 D20:E20 D27:E27 D63:E63 D80:E8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6 F28:F30 F43 F18 F9:F10 F12:F13 F65:F68 F33:F35 F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9:A13 A57:A59 A15:A42 A67:A68">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8:I31 I12 I43 I35 I9:I10 I16:I18 I6 I66:I67 I33 I57 I72 I7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15 H9:H13 H74 H66:H67 H6 H33:H43 H17:H18 H27:H31 H57 H72 H8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9:D10 D60:D61 D12:D13 D18 D28:D30 D31:E31 D65:D68 D32:D35 D43 D62:E62 D72 D7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2:B43 B9:B12 B18 B27:B30 B66:B68">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11 I13 I15">
      <formula1>-99999999999</formula1>
      <formula2>99999999999</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11 F17 F57 F27 F20 F38:F42 F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25 B20 B17 B57 B76:B77 B80">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22:G26 G57 G64 G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E76:E7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14">
      <formula1>0</formula1>
      <formula2>390</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A20" sqref="A20:XFD20"/>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138</v>
      </c>
      <c r="B2" s="10" t="s">
        <v>139</v>
      </c>
      <c r="C2" s="28" t="s">
        <v>140</v>
      </c>
      <c r="D2" s="12">
        <v>43908</v>
      </c>
      <c r="E2" s="12">
        <v>43908</v>
      </c>
      <c r="F2" s="13">
        <v>7176804</v>
      </c>
      <c r="G2" s="14">
        <v>0</v>
      </c>
      <c r="H2" s="9" t="s">
        <v>141</v>
      </c>
      <c r="I2" s="15">
        <v>800031358</v>
      </c>
      <c r="J2" s="16" t="s">
        <v>144</v>
      </c>
      <c r="K2" s="17">
        <v>18</v>
      </c>
      <c r="L2" s="29" t="s">
        <v>70</v>
      </c>
      <c r="M2" s="19">
        <v>14000.000000000002</v>
      </c>
      <c r="N2" s="19">
        <f t="shared" ref="N2:N3" si="0">M2*0.19</f>
        <v>2660.0000000000005</v>
      </c>
      <c r="O2" s="19">
        <f t="shared" ref="O2:O19" si="1">K2*(M2+N2)</f>
        <v>299880.00000000006</v>
      </c>
      <c r="P2" s="21" t="s">
        <v>145</v>
      </c>
    </row>
    <row r="3" spans="1:16" x14ac:dyDescent="0.3">
      <c r="A3" s="9" t="s">
        <v>138</v>
      </c>
      <c r="B3" s="10" t="s">
        <v>139</v>
      </c>
      <c r="C3" s="28" t="s">
        <v>140</v>
      </c>
      <c r="D3" s="12">
        <v>43908</v>
      </c>
      <c r="E3" s="12">
        <v>43908</v>
      </c>
      <c r="F3" s="13">
        <v>7176804</v>
      </c>
      <c r="G3" s="14">
        <v>0</v>
      </c>
      <c r="H3" s="9" t="s">
        <v>141</v>
      </c>
      <c r="I3" s="15">
        <v>800031358</v>
      </c>
      <c r="J3" s="16" t="s">
        <v>146</v>
      </c>
      <c r="K3" s="17">
        <v>18</v>
      </c>
      <c r="L3" s="29" t="s">
        <v>70</v>
      </c>
      <c r="M3" s="19">
        <v>14000.000000000002</v>
      </c>
      <c r="N3" s="19">
        <f t="shared" si="0"/>
        <v>2660.0000000000005</v>
      </c>
      <c r="O3" s="19">
        <f t="shared" si="1"/>
        <v>299880.00000000006</v>
      </c>
      <c r="P3" s="21" t="s">
        <v>145</v>
      </c>
    </row>
    <row r="4" spans="1:16" x14ac:dyDescent="0.3">
      <c r="A4" s="9" t="s">
        <v>196</v>
      </c>
      <c r="B4" s="10" t="s">
        <v>203</v>
      </c>
      <c r="C4" s="11" t="s">
        <v>204</v>
      </c>
      <c r="D4" s="12">
        <v>43916</v>
      </c>
      <c r="E4" s="12">
        <v>43920</v>
      </c>
      <c r="F4" s="13">
        <v>219927500</v>
      </c>
      <c r="G4" s="14">
        <v>0</v>
      </c>
      <c r="H4" s="9" t="s">
        <v>205</v>
      </c>
      <c r="I4" s="15">
        <v>900521780</v>
      </c>
      <c r="J4" s="16" t="s">
        <v>210</v>
      </c>
      <c r="K4" s="17">
        <v>1500</v>
      </c>
      <c r="L4" s="18" t="s">
        <v>70</v>
      </c>
      <c r="M4" s="19">
        <v>19500</v>
      </c>
      <c r="N4" s="19">
        <v>0</v>
      </c>
      <c r="O4" s="19">
        <f t="shared" si="1"/>
        <v>29250000</v>
      </c>
      <c r="P4" s="17" t="s">
        <v>145</v>
      </c>
    </row>
    <row r="5" spans="1:16" x14ac:dyDescent="0.3">
      <c r="A5" s="9" t="s">
        <v>472</v>
      </c>
      <c r="B5" s="10" t="s">
        <v>493</v>
      </c>
      <c r="C5" s="11" t="s">
        <v>494</v>
      </c>
      <c r="D5" s="12" t="s">
        <v>495</v>
      </c>
      <c r="E5" s="12" t="s">
        <v>495</v>
      </c>
      <c r="F5" s="13">
        <v>1560000</v>
      </c>
      <c r="G5" s="14">
        <v>0</v>
      </c>
      <c r="H5" s="9" t="s">
        <v>110</v>
      </c>
      <c r="I5" s="15">
        <v>900353659</v>
      </c>
      <c r="J5" s="16" t="s">
        <v>496</v>
      </c>
      <c r="K5" s="17">
        <v>63</v>
      </c>
      <c r="L5" s="18" t="s">
        <v>70</v>
      </c>
      <c r="M5" s="19">
        <v>20000</v>
      </c>
      <c r="N5" s="19">
        <v>0</v>
      </c>
      <c r="O5" s="19">
        <f t="shared" si="1"/>
        <v>1260000</v>
      </c>
      <c r="P5" s="17" t="s">
        <v>145</v>
      </c>
    </row>
    <row r="6" spans="1:16" x14ac:dyDescent="0.3">
      <c r="A6" s="9" t="s">
        <v>690</v>
      </c>
      <c r="B6" s="10" t="s">
        <v>695</v>
      </c>
      <c r="C6" s="11" t="s">
        <v>696</v>
      </c>
      <c r="D6" s="12">
        <v>43910</v>
      </c>
      <c r="E6" s="12">
        <v>43910</v>
      </c>
      <c r="F6" s="13">
        <v>9496200</v>
      </c>
      <c r="G6" s="14">
        <v>0</v>
      </c>
      <c r="H6" s="9" t="s">
        <v>697</v>
      </c>
      <c r="I6" s="15">
        <v>890806147</v>
      </c>
      <c r="J6" s="16" t="s">
        <v>698</v>
      </c>
      <c r="K6" s="17">
        <v>80</v>
      </c>
      <c r="L6" s="18" t="s">
        <v>70</v>
      </c>
      <c r="M6" s="19">
        <v>15000</v>
      </c>
      <c r="N6" s="19">
        <f t="shared" ref="N6:N8" si="2">M6*0.19</f>
        <v>2850</v>
      </c>
      <c r="O6" s="19">
        <f t="shared" si="1"/>
        <v>1428000</v>
      </c>
      <c r="P6" s="17" t="s">
        <v>145</v>
      </c>
    </row>
    <row r="7" spans="1:16" x14ac:dyDescent="0.3">
      <c r="A7" s="9" t="s">
        <v>690</v>
      </c>
      <c r="B7" s="10" t="s">
        <v>695</v>
      </c>
      <c r="C7" s="11" t="s">
        <v>696</v>
      </c>
      <c r="D7" s="12">
        <v>43910</v>
      </c>
      <c r="E7" s="12">
        <v>43910</v>
      </c>
      <c r="F7" s="13">
        <v>9496200</v>
      </c>
      <c r="G7" s="14">
        <v>0</v>
      </c>
      <c r="H7" s="9" t="s">
        <v>697</v>
      </c>
      <c r="I7" s="15">
        <v>890806147</v>
      </c>
      <c r="J7" s="16" t="s">
        <v>699</v>
      </c>
      <c r="K7" s="17">
        <v>116</v>
      </c>
      <c r="L7" s="18" t="s">
        <v>70</v>
      </c>
      <c r="M7" s="19">
        <v>15000</v>
      </c>
      <c r="N7" s="19">
        <f t="shared" si="2"/>
        <v>2850</v>
      </c>
      <c r="O7" s="19">
        <f t="shared" si="1"/>
        <v>2070600</v>
      </c>
      <c r="P7" s="17" t="s">
        <v>145</v>
      </c>
    </row>
    <row r="8" spans="1:16" x14ac:dyDescent="0.3">
      <c r="A8" s="9" t="s">
        <v>809</v>
      </c>
      <c r="B8" s="10" t="s">
        <v>844</v>
      </c>
      <c r="C8" s="11" t="s">
        <v>845</v>
      </c>
      <c r="D8" s="12">
        <v>43920</v>
      </c>
      <c r="E8" s="12">
        <v>43920</v>
      </c>
      <c r="F8" s="13">
        <v>26983488</v>
      </c>
      <c r="G8" s="14">
        <v>0</v>
      </c>
      <c r="H8" s="9" t="s">
        <v>846</v>
      </c>
      <c r="I8" s="15">
        <v>900727931</v>
      </c>
      <c r="J8" s="16" t="s">
        <v>848</v>
      </c>
      <c r="K8" s="17">
        <v>307</v>
      </c>
      <c r="L8" s="18" t="s">
        <v>70</v>
      </c>
      <c r="M8" s="19">
        <v>13600</v>
      </c>
      <c r="N8" s="19">
        <f t="shared" si="2"/>
        <v>2584</v>
      </c>
      <c r="O8" s="19">
        <f t="shared" si="1"/>
        <v>4968488</v>
      </c>
      <c r="P8" s="17" t="s">
        <v>145</v>
      </c>
    </row>
    <row r="9" spans="1:16" x14ac:dyDescent="0.3">
      <c r="A9" s="9" t="s">
        <v>809</v>
      </c>
      <c r="B9" s="10" t="s">
        <v>849</v>
      </c>
      <c r="C9" s="11" t="s">
        <v>845</v>
      </c>
      <c r="D9" s="12">
        <v>43950</v>
      </c>
      <c r="E9" s="12">
        <v>43950</v>
      </c>
      <c r="F9" s="13">
        <v>51899000</v>
      </c>
      <c r="G9" s="14">
        <v>0</v>
      </c>
      <c r="H9" s="9" t="s">
        <v>846</v>
      </c>
      <c r="I9" s="15">
        <v>900727931</v>
      </c>
      <c r="J9" s="16" t="s">
        <v>851</v>
      </c>
      <c r="K9" s="17">
        <v>1305</v>
      </c>
      <c r="L9" s="18" t="s">
        <v>70</v>
      </c>
      <c r="M9" s="19">
        <v>13600</v>
      </c>
      <c r="N9" s="19">
        <v>0</v>
      </c>
      <c r="O9" s="19">
        <f t="shared" si="1"/>
        <v>17748000</v>
      </c>
      <c r="P9" s="17" t="s">
        <v>145</v>
      </c>
    </row>
    <row r="10" spans="1:16" x14ac:dyDescent="0.3">
      <c r="A10" s="9" t="s">
        <v>1091</v>
      </c>
      <c r="B10" s="10" t="s">
        <v>2048</v>
      </c>
      <c r="C10" s="11" t="s">
        <v>1096</v>
      </c>
      <c r="D10" s="12">
        <v>43927</v>
      </c>
      <c r="E10" s="12">
        <v>43928</v>
      </c>
      <c r="F10" s="13">
        <v>82970740</v>
      </c>
      <c r="G10" s="14">
        <v>0</v>
      </c>
      <c r="H10" s="9" t="s">
        <v>1097</v>
      </c>
      <c r="I10" s="15">
        <v>59311027</v>
      </c>
      <c r="J10" s="16" t="s">
        <v>1098</v>
      </c>
      <c r="K10" s="17">
        <v>124</v>
      </c>
      <c r="L10" s="18" t="s">
        <v>70</v>
      </c>
      <c r="M10" s="19">
        <v>15650</v>
      </c>
      <c r="N10" s="19">
        <v>0</v>
      </c>
      <c r="O10" s="19">
        <f t="shared" si="1"/>
        <v>1940600</v>
      </c>
      <c r="P10" s="17" t="s">
        <v>145</v>
      </c>
    </row>
    <row r="11" spans="1:16" x14ac:dyDescent="0.3">
      <c r="A11" s="9" t="s">
        <v>1091</v>
      </c>
      <c r="B11" s="10" t="s">
        <v>1110</v>
      </c>
      <c r="C11" s="11" t="s">
        <v>1111</v>
      </c>
      <c r="D11" s="12">
        <v>43949</v>
      </c>
      <c r="E11" s="12">
        <v>43949</v>
      </c>
      <c r="F11" s="13">
        <v>4020100</v>
      </c>
      <c r="G11" s="14">
        <v>0</v>
      </c>
      <c r="H11" s="9" t="s">
        <v>1112</v>
      </c>
      <c r="I11" s="15">
        <v>900225460</v>
      </c>
      <c r="J11" s="16" t="s">
        <v>145</v>
      </c>
      <c r="K11" s="17">
        <v>200</v>
      </c>
      <c r="L11" s="18" t="s">
        <v>70</v>
      </c>
      <c r="M11" s="19">
        <v>20100.5</v>
      </c>
      <c r="N11" s="19">
        <v>0</v>
      </c>
      <c r="O11" s="19">
        <f t="shared" si="1"/>
        <v>4020100</v>
      </c>
      <c r="P11" s="17" t="s">
        <v>145</v>
      </c>
    </row>
    <row r="12" spans="1:16" x14ac:dyDescent="0.3">
      <c r="A12" s="9" t="s">
        <v>1091</v>
      </c>
      <c r="B12" s="10" t="s">
        <v>1260</v>
      </c>
      <c r="C12" s="11" t="s">
        <v>1256</v>
      </c>
      <c r="D12" s="12">
        <v>44099</v>
      </c>
      <c r="E12" s="12">
        <v>44099</v>
      </c>
      <c r="F12" s="13">
        <v>8802010.4600000009</v>
      </c>
      <c r="G12" s="14">
        <v>0</v>
      </c>
      <c r="H12" s="9" t="s">
        <v>1261</v>
      </c>
      <c r="I12" s="15">
        <v>900567130</v>
      </c>
      <c r="J12" s="16" t="s">
        <v>145</v>
      </c>
      <c r="K12" s="17">
        <v>302</v>
      </c>
      <c r="L12" s="18" t="s">
        <v>70</v>
      </c>
      <c r="M12" s="19">
        <v>29145.73</v>
      </c>
      <c r="N12" s="19">
        <v>0</v>
      </c>
      <c r="O12" s="19">
        <f t="shared" si="1"/>
        <v>8802010.459999999</v>
      </c>
      <c r="P12" s="17" t="s">
        <v>145</v>
      </c>
    </row>
    <row r="13" spans="1:16" x14ac:dyDescent="0.3">
      <c r="A13" s="9" t="s">
        <v>1306</v>
      </c>
      <c r="B13" s="10" t="s">
        <v>1329</v>
      </c>
      <c r="C13" s="11" t="s">
        <v>1330</v>
      </c>
      <c r="D13" s="12">
        <v>43917</v>
      </c>
      <c r="E13" s="12">
        <v>43910</v>
      </c>
      <c r="F13" s="13">
        <v>1911550</v>
      </c>
      <c r="G13" s="14">
        <v>0</v>
      </c>
      <c r="H13" s="9" t="s">
        <v>1331</v>
      </c>
      <c r="I13" s="15">
        <v>12109146</v>
      </c>
      <c r="J13" s="16" t="s">
        <v>1335</v>
      </c>
      <c r="K13" s="17">
        <v>50</v>
      </c>
      <c r="L13" s="18" t="s">
        <v>70</v>
      </c>
      <c r="M13" s="19">
        <v>15966.6</v>
      </c>
      <c r="N13" s="19">
        <f t="shared" ref="N13:N14" si="3">M13*0.19</f>
        <v>3033.654</v>
      </c>
      <c r="O13" s="19">
        <f t="shared" si="1"/>
        <v>950012.70000000007</v>
      </c>
      <c r="P13" s="17" t="s">
        <v>145</v>
      </c>
    </row>
    <row r="14" spans="1:16" x14ac:dyDescent="0.3">
      <c r="A14" s="9" t="s">
        <v>1306</v>
      </c>
      <c r="B14" s="10" t="s">
        <v>1329</v>
      </c>
      <c r="C14" s="11" t="s">
        <v>1330</v>
      </c>
      <c r="D14" s="12">
        <v>43917</v>
      </c>
      <c r="E14" s="12">
        <v>43910</v>
      </c>
      <c r="F14" s="13">
        <v>1911550</v>
      </c>
      <c r="G14" s="14">
        <v>0</v>
      </c>
      <c r="H14" s="9" t="s">
        <v>1331</v>
      </c>
      <c r="I14" s="15">
        <v>12109146</v>
      </c>
      <c r="J14" s="16" t="s">
        <v>1336</v>
      </c>
      <c r="K14" s="17">
        <v>10</v>
      </c>
      <c r="L14" s="18" t="s">
        <v>70</v>
      </c>
      <c r="M14" s="19">
        <v>15966.6</v>
      </c>
      <c r="N14" s="19">
        <f t="shared" si="3"/>
        <v>3033.654</v>
      </c>
      <c r="O14" s="19">
        <f t="shared" si="1"/>
        <v>190002.54</v>
      </c>
      <c r="P14" s="17" t="s">
        <v>145</v>
      </c>
    </row>
    <row r="15" spans="1:16" x14ac:dyDescent="0.3">
      <c r="A15" s="9" t="s">
        <v>1306</v>
      </c>
      <c r="B15" s="10" t="s">
        <v>1338</v>
      </c>
      <c r="C15" s="11" t="s">
        <v>1339</v>
      </c>
      <c r="D15" s="12">
        <v>43917</v>
      </c>
      <c r="E15" s="12">
        <v>43917</v>
      </c>
      <c r="F15" s="13">
        <v>1832949</v>
      </c>
      <c r="G15" s="14">
        <v>0</v>
      </c>
      <c r="H15" s="9" t="s">
        <v>1340</v>
      </c>
      <c r="I15" s="15">
        <v>815004985</v>
      </c>
      <c r="J15" s="16" t="s">
        <v>1341</v>
      </c>
      <c r="K15" s="17">
        <v>21</v>
      </c>
      <c r="L15" s="18" t="s">
        <v>70</v>
      </c>
      <c r="M15" s="19">
        <v>20276</v>
      </c>
      <c r="N15" s="19">
        <v>0</v>
      </c>
      <c r="O15" s="19">
        <f t="shared" si="1"/>
        <v>425796</v>
      </c>
      <c r="P15" s="17" t="s">
        <v>145</v>
      </c>
    </row>
    <row r="16" spans="1:16" x14ac:dyDescent="0.3">
      <c r="A16" s="9" t="s">
        <v>1306</v>
      </c>
      <c r="B16" s="10" t="s">
        <v>1338</v>
      </c>
      <c r="C16" s="11" t="s">
        <v>1339</v>
      </c>
      <c r="D16" s="12">
        <v>43917</v>
      </c>
      <c r="E16" s="12">
        <v>43917</v>
      </c>
      <c r="F16" s="13">
        <v>1832949</v>
      </c>
      <c r="G16" s="14">
        <v>0</v>
      </c>
      <c r="H16" s="9" t="s">
        <v>1340</v>
      </c>
      <c r="I16" s="15">
        <v>815004985</v>
      </c>
      <c r="J16" s="16" t="s">
        <v>1342</v>
      </c>
      <c r="K16" s="17">
        <v>19</v>
      </c>
      <c r="L16" s="18" t="s">
        <v>70</v>
      </c>
      <c r="M16" s="19">
        <v>20276</v>
      </c>
      <c r="N16" s="19">
        <v>0</v>
      </c>
      <c r="O16" s="19">
        <f t="shared" si="1"/>
        <v>385244</v>
      </c>
      <c r="P16" s="17" t="s">
        <v>145</v>
      </c>
    </row>
    <row r="17" spans="1:16" x14ac:dyDescent="0.3">
      <c r="A17" s="9" t="s">
        <v>1306</v>
      </c>
      <c r="B17" s="10" t="s">
        <v>1353</v>
      </c>
      <c r="C17" s="11" t="s">
        <v>1354</v>
      </c>
      <c r="D17" s="12">
        <v>43941</v>
      </c>
      <c r="E17" s="12">
        <v>43942</v>
      </c>
      <c r="F17" s="13">
        <v>7770000</v>
      </c>
      <c r="G17" s="14">
        <v>0</v>
      </c>
      <c r="H17" s="9" t="s">
        <v>1347</v>
      </c>
      <c r="I17" s="15">
        <v>901285199</v>
      </c>
      <c r="J17" s="16" t="s">
        <v>1356</v>
      </c>
      <c r="K17" s="17">
        <v>30</v>
      </c>
      <c r="L17" s="18" t="s">
        <v>70</v>
      </c>
      <c r="M17" s="19">
        <v>19000</v>
      </c>
      <c r="N17" s="19">
        <v>0</v>
      </c>
      <c r="O17" s="19">
        <f t="shared" si="1"/>
        <v>570000</v>
      </c>
      <c r="P17" s="17" t="s">
        <v>145</v>
      </c>
    </row>
    <row r="18" spans="1:16" x14ac:dyDescent="0.3">
      <c r="A18" s="9" t="s">
        <v>1472</v>
      </c>
      <c r="B18" s="10" t="s">
        <v>1473</v>
      </c>
      <c r="C18" s="11" t="s">
        <v>1474</v>
      </c>
      <c r="D18" s="12">
        <v>43914</v>
      </c>
      <c r="E18" s="12">
        <v>43914</v>
      </c>
      <c r="F18" s="13">
        <v>19313663</v>
      </c>
      <c r="G18" s="14">
        <v>0</v>
      </c>
      <c r="H18" s="9" t="s">
        <v>1475</v>
      </c>
      <c r="I18" s="15">
        <v>92511814</v>
      </c>
      <c r="J18" s="16" t="s">
        <v>1479</v>
      </c>
      <c r="K18" s="17">
        <v>10</v>
      </c>
      <c r="L18" s="18" t="s">
        <v>70</v>
      </c>
      <c r="M18" s="19">
        <v>45000</v>
      </c>
      <c r="N18" s="19">
        <f t="shared" ref="N18" si="4">M18*0.19</f>
        <v>8550</v>
      </c>
      <c r="O18" s="19">
        <f t="shared" si="1"/>
        <v>535500</v>
      </c>
      <c r="P18" s="17" t="s">
        <v>145</v>
      </c>
    </row>
    <row r="19" spans="1:16" x14ac:dyDescent="0.3">
      <c r="A19" s="9" t="s">
        <v>1629</v>
      </c>
      <c r="B19" s="10" t="s">
        <v>2115</v>
      </c>
      <c r="C19" s="11" t="s">
        <v>1636</v>
      </c>
      <c r="D19" s="12">
        <v>43934</v>
      </c>
      <c r="E19" s="12">
        <v>43936</v>
      </c>
      <c r="F19" s="13">
        <v>5650000</v>
      </c>
      <c r="G19" s="14">
        <v>0</v>
      </c>
      <c r="H19" s="9" t="s">
        <v>1637</v>
      </c>
      <c r="I19" s="15">
        <v>34535703</v>
      </c>
      <c r="J19" s="16" t="s">
        <v>1638</v>
      </c>
      <c r="K19" s="17">
        <v>200</v>
      </c>
      <c r="L19" s="18" t="s">
        <v>70</v>
      </c>
      <c r="M19" s="19">
        <v>28250</v>
      </c>
      <c r="N19" s="19">
        <v>0</v>
      </c>
      <c r="O19" s="19">
        <f t="shared" si="1"/>
        <v>5650000</v>
      </c>
      <c r="P19" s="21" t="s">
        <v>145</v>
      </c>
    </row>
  </sheetData>
  <dataValidations count="13">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4 D2:I3 A2:B3 E16">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9:E9 D4 D16 D18:E18">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4 F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5:A9 A17:A18">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4">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4:H5 H8:H9 H17:H1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8 B4 B17:B18">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10:E12 D19:E19 D5:E5 D8:E8 D17:E17">
      <formula1>1900/1/1</formula1>
      <formula2>3000/1/1</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9 I19 I5 I17">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5 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5:G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C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5">
      <formula1>0</formula1>
      <formula2>390</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selection sqref="A1:P65"/>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66</v>
      </c>
      <c r="C2" s="11" t="s">
        <v>67</v>
      </c>
      <c r="D2" s="12">
        <v>43985</v>
      </c>
      <c r="E2" s="12">
        <v>43985</v>
      </c>
      <c r="F2" s="13">
        <v>6047350</v>
      </c>
      <c r="G2" s="14">
        <v>0</v>
      </c>
      <c r="H2" s="9" t="s">
        <v>68</v>
      </c>
      <c r="I2" s="15">
        <v>900350133</v>
      </c>
      <c r="J2" s="16" t="s">
        <v>69</v>
      </c>
      <c r="K2" s="17">
        <v>110</v>
      </c>
      <c r="L2" s="18" t="s">
        <v>70</v>
      </c>
      <c r="M2" s="19">
        <v>46198.239999999998</v>
      </c>
      <c r="N2" s="19">
        <f t="shared" ref="N2" si="0">M2*0.19</f>
        <v>8777.6656000000003</v>
      </c>
      <c r="O2" s="19">
        <f t="shared" ref="O2:O62" si="1">K2*(M2+N2)</f>
        <v>6047349.6159999995</v>
      </c>
      <c r="P2" s="17" t="s">
        <v>69</v>
      </c>
    </row>
    <row r="3" spans="1:16" x14ac:dyDescent="0.3">
      <c r="A3" s="9" t="s">
        <v>138</v>
      </c>
      <c r="B3" s="10" t="s">
        <v>170</v>
      </c>
      <c r="C3" s="28" t="s">
        <v>171</v>
      </c>
      <c r="D3" s="12">
        <v>43969</v>
      </c>
      <c r="E3" s="12">
        <v>43969</v>
      </c>
      <c r="F3" s="13">
        <v>6890700</v>
      </c>
      <c r="G3" s="14">
        <v>0</v>
      </c>
      <c r="H3" s="9" t="s">
        <v>172</v>
      </c>
      <c r="I3" s="15">
        <v>900155107</v>
      </c>
      <c r="J3" s="16" t="s">
        <v>173</v>
      </c>
      <c r="K3" s="17">
        <v>100</v>
      </c>
      <c r="L3" s="29" t="s">
        <v>70</v>
      </c>
      <c r="M3" s="19">
        <v>68907</v>
      </c>
      <c r="N3" s="19">
        <v>0</v>
      </c>
      <c r="O3" s="19">
        <f t="shared" si="1"/>
        <v>6890700</v>
      </c>
      <c r="P3" s="17" t="s">
        <v>69</v>
      </c>
    </row>
    <row r="4" spans="1:16" x14ac:dyDescent="0.3">
      <c r="A4" s="9" t="s">
        <v>196</v>
      </c>
      <c r="B4" s="10" t="s">
        <v>1986</v>
      </c>
      <c r="C4" s="11" t="s">
        <v>248</v>
      </c>
      <c r="D4" s="12">
        <v>44034</v>
      </c>
      <c r="E4" s="12">
        <v>44034</v>
      </c>
      <c r="F4" s="13">
        <v>27417000</v>
      </c>
      <c r="G4" s="14">
        <v>0</v>
      </c>
      <c r="H4" s="9" t="s">
        <v>249</v>
      </c>
      <c r="I4" s="15">
        <v>9005671308</v>
      </c>
      <c r="J4" s="16" t="s">
        <v>505</v>
      </c>
      <c r="K4" s="17">
        <v>703</v>
      </c>
      <c r="L4" s="18" t="s">
        <v>70</v>
      </c>
      <c r="M4" s="19">
        <v>39000</v>
      </c>
      <c r="N4" s="19">
        <v>0</v>
      </c>
      <c r="O4" s="19">
        <f t="shared" si="1"/>
        <v>27417000</v>
      </c>
      <c r="P4" s="17" t="s">
        <v>69</v>
      </c>
    </row>
    <row r="5" spans="1:16" x14ac:dyDescent="0.3">
      <c r="A5" s="9" t="s">
        <v>196</v>
      </c>
      <c r="B5" s="10" t="s">
        <v>2011</v>
      </c>
      <c r="C5" s="11" t="s">
        <v>1777</v>
      </c>
      <c r="D5" s="12">
        <v>44186</v>
      </c>
      <c r="E5" s="12">
        <v>44186</v>
      </c>
      <c r="F5" s="13">
        <v>3170000</v>
      </c>
      <c r="G5" s="14">
        <v>0</v>
      </c>
      <c r="H5" s="9" t="s">
        <v>60</v>
      </c>
      <c r="I5" s="15">
        <v>830001338</v>
      </c>
      <c r="J5" s="16" t="s">
        <v>69</v>
      </c>
      <c r="K5" s="17">
        <v>50</v>
      </c>
      <c r="L5" s="18" t="s">
        <v>70</v>
      </c>
      <c r="M5" s="19">
        <v>63400</v>
      </c>
      <c r="N5" s="19">
        <v>0</v>
      </c>
      <c r="O5" s="19">
        <f t="shared" si="1"/>
        <v>3170000</v>
      </c>
      <c r="P5" s="17" t="s">
        <v>69</v>
      </c>
    </row>
    <row r="6" spans="1:16" x14ac:dyDescent="0.3">
      <c r="A6" s="9" t="s">
        <v>196</v>
      </c>
      <c r="B6" s="10" t="s">
        <v>2012</v>
      </c>
      <c r="C6" s="11" t="s">
        <v>1777</v>
      </c>
      <c r="D6" s="12">
        <v>44186</v>
      </c>
      <c r="E6" s="12">
        <v>44186</v>
      </c>
      <c r="F6" s="13">
        <v>597200000</v>
      </c>
      <c r="G6" s="14">
        <v>0</v>
      </c>
      <c r="H6" s="9" t="s">
        <v>282</v>
      </c>
      <c r="I6" s="15">
        <v>94409574</v>
      </c>
      <c r="J6" s="16" t="s">
        <v>69</v>
      </c>
      <c r="K6" s="17">
        <v>9300</v>
      </c>
      <c r="L6" s="18" t="s">
        <v>70</v>
      </c>
      <c r="M6" s="19">
        <v>64215.053763440861</v>
      </c>
      <c r="N6" s="19">
        <v>0</v>
      </c>
      <c r="O6" s="19">
        <f t="shared" si="1"/>
        <v>597200000</v>
      </c>
      <c r="P6" s="17" t="s">
        <v>69</v>
      </c>
    </row>
    <row r="7" spans="1:16" x14ac:dyDescent="0.3">
      <c r="A7" s="9" t="s">
        <v>196</v>
      </c>
      <c r="B7" s="10" t="s">
        <v>2013</v>
      </c>
      <c r="C7" s="11" t="s">
        <v>1777</v>
      </c>
      <c r="D7" s="12">
        <v>44186</v>
      </c>
      <c r="E7" s="12">
        <v>44186</v>
      </c>
      <c r="F7" s="13">
        <v>17250000</v>
      </c>
      <c r="G7" s="14">
        <v>0</v>
      </c>
      <c r="H7" s="9" t="s">
        <v>273</v>
      </c>
      <c r="I7" s="15">
        <v>901211678</v>
      </c>
      <c r="J7" s="16" t="s">
        <v>69</v>
      </c>
      <c r="K7" s="17">
        <v>300</v>
      </c>
      <c r="L7" s="18" t="s">
        <v>70</v>
      </c>
      <c r="M7" s="19">
        <v>57500</v>
      </c>
      <c r="N7" s="19">
        <v>0</v>
      </c>
      <c r="O7" s="19">
        <f t="shared" si="1"/>
        <v>17250000</v>
      </c>
      <c r="P7" s="17" t="s">
        <v>69</v>
      </c>
    </row>
    <row r="8" spans="1:16" x14ac:dyDescent="0.3">
      <c r="A8" s="9" t="s">
        <v>284</v>
      </c>
      <c r="B8" s="10" t="s">
        <v>341</v>
      </c>
      <c r="C8" s="11" t="s">
        <v>342</v>
      </c>
      <c r="D8" s="12">
        <v>43970</v>
      </c>
      <c r="E8" s="12">
        <v>43970</v>
      </c>
      <c r="F8" s="13">
        <v>9318300</v>
      </c>
      <c r="G8" s="14">
        <v>0</v>
      </c>
      <c r="H8" s="9" t="s">
        <v>343</v>
      </c>
      <c r="I8" s="15">
        <v>900350133</v>
      </c>
      <c r="J8" s="16" t="s">
        <v>69</v>
      </c>
      <c r="K8" s="17">
        <v>178</v>
      </c>
      <c r="L8" s="18" t="s">
        <v>70</v>
      </c>
      <c r="M8" s="19">
        <v>52350</v>
      </c>
      <c r="N8" s="19">
        <v>0</v>
      </c>
      <c r="O8" s="19">
        <f t="shared" si="1"/>
        <v>9318300</v>
      </c>
      <c r="P8" s="17" t="s">
        <v>69</v>
      </c>
    </row>
    <row r="9" spans="1:16" x14ac:dyDescent="0.3">
      <c r="A9" s="9" t="s">
        <v>284</v>
      </c>
      <c r="B9" s="10" t="s">
        <v>380</v>
      </c>
      <c r="C9" s="11" t="s">
        <v>381</v>
      </c>
      <c r="D9" s="12">
        <v>44041</v>
      </c>
      <c r="E9" s="12">
        <v>44041</v>
      </c>
      <c r="F9" s="13">
        <v>49100000</v>
      </c>
      <c r="G9" s="14">
        <v>0</v>
      </c>
      <c r="H9" s="9" t="s">
        <v>382</v>
      </c>
      <c r="I9" s="15">
        <v>900567130</v>
      </c>
      <c r="J9" s="16" t="s">
        <v>69</v>
      </c>
      <c r="K9" s="17">
        <v>1080</v>
      </c>
      <c r="L9" s="18" t="s">
        <v>70</v>
      </c>
      <c r="M9" s="19">
        <v>45000</v>
      </c>
      <c r="N9" s="19">
        <v>0</v>
      </c>
      <c r="O9" s="19">
        <f t="shared" si="1"/>
        <v>48600000</v>
      </c>
      <c r="P9" s="17" t="s">
        <v>69</v>
      </c>
    </row>
    <row r="10" spans="1:16" x14ac:dyDescent="0.3">
      <c r="A10" s="9" t="s">
        <v>402</v>
      </c>
      <c r="B10" s="10" t="s">
        <v>408</v>
      </c>
      <c r="C10" s="11" t="s">
        <v>409</v>
      </c>
      <c r="D10" s="12">
        <v>43916</v>
      </c>
      <c r="E10" s="12">
        <v>43917</v>
      </c>
      <c r="F10" s="13">
        <v>21397390</v>
      </c>
      <c r="G10" s="14">
        <v>0</v>
      </c>
      <c r="H10" s="9" t="s">
        <v>410</v>
      </c>
      <c r="I10" s="15">
        <v>901165706</v>
      </c>
      <c r="J10" s="16" t="s">
        <v>414</v>
      </c>
      <c r="K10" s="17">
        <v>2000</v>
      </c>
      <c r="L10" s="18" t="s">
        <v>70</v>
      </c>
      <c r="M10" s="19">
        <v>2380</v>
      </c>
      <c r="N10" s="19">
        <v>0</v>
      </c>
      <c r="O10" s="19">
        <f t="shared" si="1"/>
        <v>4760000</v>
      </c>
      <c r="P10" s="17" t="s">
        <v>69</v>
      </c>
    </row>
    <row r="11" spans="1:16" x14ac:dyDescent="0.3">
      <c r="A11" s="9" t="s">
        <v>402</v>
      </c>
      <c r="B11" s="10" t="s">
        <v>181</v>
      </c>
      <c r="C11" s="11" t="s">
        <v>448</v>
      </c>
      <c r="D11" s="12">
        <v>43990</v>
      </c>
      <c r="E11" s="12">
        <v>43991</v>
      </c>
      <c r="F11" s="13">
        <v>87724140</v>
      </c>
      <c r="G11" s="14">
        <v>87708173</v>
      </c>
      <c r="H11" s="9" t="s">
        <v>449</v>
      </c>
      <c r="I11" s="15">
        <v>800078360</v>
      </c>
      <c r="J11" s="16" t="s">
        <v>450</v>
      </c>
      <c r="K11" s="17">
        <v>2569</v>
      </c>
      <c r="L11" s="18" t="s">
        <v>70</v>
      </c>
      <c r="M11" s="19">
        <v>63077</v>
      </c>
      <c r="N11" s="19">
        <v>0</v>
      </c>
      <c r="O11" s="19">
        <f t="shared" si="1"/>
        <v>162044813</v>
      </c>
      <c r="P11" s="17" t="s">
        <v>69</v>
      </c>
    </row>
    <row r="12" spans="1:16" x14ac:dyDescent="0.3">
      <c r="A12" s="9" t="s">
        <v>472</v>
      </c>
      <c r="B12" s="10" t="s">
        <v>490</v>
      </c>
      <c r="C12" s="11" t="s">
        <v>491</v>
      </c>
      <c r="D12" s="12">
        <v>43971</v>
      </c>
      <c r="E12" s="12">
        <v>43972</v>
      </c>
      <c r="F12" s="13">
        <v>14952000</v>
      </c>
      <c r="G12" s="14">
        <v>0</v>
      </c>
      <c r="H12" s="9" t="s">
        <v>486</v>
      </c>
      <c r="I12" s="15">
        <v>900881350</v>
      </c>
      <c r="J12" s="16" t="s">
        <v>492</v>
      </c>
      <c r="K12" s="17">
        <v>336</v>
      </c>
      <c r="L12" s="18" t="s">
        <v>70</v>
      </c>
      <c r="M12" s="19">
        <v>44500</v>
      </c>
      <c r="N12" s="19">
        <v>0</v>
      </c>
      <c r="O12" s="19">
        <f t="shared" si="1"/>
        <v>14952000</v>
      </c>
      <c r="P12" s="17" t="s">
        <v>69</v>
      </c>
    </row>
    <row r="13" spans="1:16" x14ac:dyDescent="0.3">
      <c r="A13" s="9" t="s">
        <v>472</v>
      </c>
      <c r="B13" s="10" t="s">
        <v>503</v>
      </c>
      <c r="C13" s="11" t="s">
        <v>504</v>
      </c>
      <c r="D13" s="12">
        <v>43956</v>
      </c>
      <c r="E13" s="12">
        <v>43956</v>
      </c>
      <c r="F13" s="13">
        <v>9600000</v>
      </c>
      <c r="G13" s="14">
        <v>0</v>
      </c>
      <c r="H13" s="9" t="s">
        <v>110</v>
      </c>
      <c r="I13" s="15">
        <v>900353659</v>
      </c>
      <c r="J13" s="16" t="s">
        <v>505</v>
      </c>
      <c r="K13" s="17">
        <v>200</v>
      </c>
      <c r="L13" s="18" t="s">
        <v>70</v>
      </c>
      <c r="M13" s="19">
        <v>45000</v>
      </c>
      <c r="N13" s="19">
        <v>0</v>
      </c>
      <c r="O13" s="19">
        <f t="shared" si="1"/>
        <v>9000000</v>
      </c>
      <c r="P13" s="17" t="s">
        <v>69</v>
      </c>
    </row>
    <row r="14" spans="1:16" x14ac:dyDescent="0.3">
      <c r="A14" s="9" t="s">
        <v>558</v>
      </c>
      <c r="B14" s="10" t="s">
        <v>571</v>
      </c>
      <c r="C14" s="11" t="s">
        <v>572</v>
      </c>
      <c r="D14" s="12">
        <v>43945</v>
      </c>
      <c r="E14" s="12">
        <v>43945</v>
      </c>
      <c r="F14" s="13">
        <v>37196160</v>
      </c>
      <c r="G14" s="14">
        <v>0</v>
      </c>
      <c r="H14" s="9" t="s">
        <v>332</v>
      </c>
      <c r="I14" s="15">
        <v>800037946</v>
      </c>
      <c r="J14" s="16" t="s">
        <v>573</v>
      </c>
      <c r="K14" s="17">
        <v>93</v>
      </c>
      <c r="L14" s="18" t="s">
        <v>70</v>
      </c>
      <c r="M14" s="19">
        <v>57800</v>
      </c>
      <c r="N14" s="19">
        <v>0</v>
      </c>
      <c r="O14" s="19">
        <f t="shared" si="1"/>
        <v>5375400</v>
      </c>
      <c r="P14" s="17" t="s">
        <v>69</v>
      </c>
    </row>
    <row r="15" spans="1:16" x14ac:dyDescent="0.3">
      <c r="A15" s="9" t="s">
        <v>558</v>
      </c>
      <c r="B15" s="10" t="s">
        <v>598</v>
      </c>
      <c r="C15" s="11" t="s">
        <v>599</v>
      </c>
      <c r="D15" s="12">
        <v>43969</v>
      </c>
      <c r="E15" s="12">
        <v>43969</v>
      </c>
      <c r="F15" s="13">
        <v>28900000</v>
      </c>
      <c r="G15" s="14">
        <v>0</v>
      </c>
      <c r="H15" s="9" t="s">
        <v>600</v>
      </c>
      <c r="I15" s="15">
        <v>830037946</v>
      </c>
      <c r="J15" s="16" t="s">
        <v>573</v>
      </c>
      <c r="K15" s="17">
        <v>500</v>
      </c>
      <c r="L15" s="18" t="s">
        <v>70</v>
      </c>
      <c r="M15" s="19">
        <v>57800</v>
      </c>
      <c r="N15" s="19">
        <v>0</v>
      </c>
      <c r="O15" s="19">
        <f t="shared" si="1"/>
        <v>28900000</v>
      </c>
      <c r="P15" s="17" t="s">
        <v>69</v>
      </c>
    </row>
    <row r="16" spans="1:16" x14ac:dyDescent="0.3">
      <c r="A16" s="9" t="s">
        <v>657</v>
      </c>
      <c r="B16" s="10" t="s">
        <v>662</v>
      </c>
      <c r="C16" s="11" t="s">
        <v>663</v>
      </c>
      <c r="D16" s="12">
        <v>43963</v>
      </c>
      <c r="E16" s="12">
        <v>43963</v>
      </c>
      <c r="F16" s="13">
        <v>166018725</v>
      </c>
      <c r="G16" s="14">
        <v>0</v>
      </c>
      <c r="H16" s="9" t="s">
        <v>660</v>
      </c>
      <c r="I16" s="15">
        <v>813005241</v>
      </c>
      <c r="J16" s="16" t="s">
        <v>665</v>
      </c>
      <c r="K16" s="17">
        <v>600</v>
      </c>
      <c r="L16" s="18" t="s">
        <v>70</v>
      </c>
      <c r="M16" s="19">
        <v>42100</v>
      </c>
      <c r="N16" s="19">
        <v>0</v>
      </c>
      <c r="O16" s="19">
        <f t="shared" si="1"/>
        <v>25260000</v>
      </c>
      <c r="P16" s="17" t="s">
        <v>69</v>
      </c>
    </row>
    <row r="17" spans="1:16" x14ac:dyDescent="0.3">
      <c r="A17" s="9" t="s">
        <v>657</v>
      </c>
      <c r="B17" s="10" t="s">
        <v>670</v>
      </c>
      <c r="C17" s="11" t="s">
        <v>671</v>
      </c>
      <c r="D17" s="12">
        <v>44015</v>
      </c>
      <c r="E17" s="12">
        <v>44018</v>
      </c>
      <c r="F17" s="13">
        <v>201000100</v>
      </c>
      <c r="G17" s="14">
        <v>0</v>
      </c>
      <c r="H17" s="9" t="s">
        <v>660</v>
      </c>
      <c r="I17" s="15">
        <v>813005241</v>
      </c>
      <c r="J17" s="16" t="s">
        <v>672</v>
      </c>
      <c r="K17" s="17">
        <v>265</v>
      </c>
      <c r="L17" s="18" t="s">
        <v>70</v>
      </c>
      <c r="M17" s="19">
        <v>43000</v>
      </c>
      <c r="N17" s="19">
        <v>0</v>
      </c>
      <c r="O17" s="19">
        <f t="shared" si="1"/>
        <v>11395000</v>
      </c>
      <c r="P17" s="17" t="s">
        <v>69</v>
      </c>
    </row>
    <row r="18" spans="1:16" x14ac:dyDescent="0.3">
      <c r="A18" s="9" t="s">
        <v>690</v>
      </c>
      <c r="B18" s="10" t="s">
        <v>2035</v>
      </c>
      <c r="C18" s="11" t="s">
        <v>732</v>
      </c>
      <c r="D18" s="12">
        <v>43972</v>
      </c>
      <c r="E18" s="12">
        <v>43972</v>
      </c>
      <c r="F18" s="13">
        <v>1760000</v>
      </c>
      <c r="G18" s="14">
        <v>0</v>
      </c>
      <c r="H18" s="9" t="s">
        <v>733</v>
      </c>
      <c r="I18" s="15">
        <v>94409574</v>
      </c>
      <c r="J18" s="16" t="s">
        <v>732</v>
      </c>
      <c r="K18" s="17">
        <v>30</v>
      </c>
      <c r="L18" s="18" t="s">
        <v>70</v>
      </c>
      <c r="M18" s="19">
        <v>54000</v>
      </c>
      <c r="N18" s="19">
        <v>0</v>
      </c>
      <c r="O18" s="19">
        <f t="shared" si="1"/>
        <v>1620000</v>
      </c>
      <c r="P18" s="17" t="s">
        <v>69</v>
      </c>
    </row>
    <row r="19" spans="1:16" x14ac:dyDescent="0.3">
      <c r="A19" s="33" t="s">
        <v>690</v>
      </c>
      <c r="B19" s="33" t="s">
        <v>796</v>
      </c>
      <c r="C19" s="33" t="s">
        <v>1806</v>
      </c>
      <c r="D19" s="34">
        <v>44147</v>
      </c>
      <c r="E19" s="34">
        <v>44147</v>
      </c>
      <c r="F19" s="35">
        <v>1078700</v>
      </c>
      <c r="G19" s="14">
        <v>0</v>
      </c>
      <c r="H19" s="33" t="s">
        <v>797</v>
      </c>
      <c r="I19" s="36">
        <v>830051855</v>
      </c>
      <c r="J19" s="33" t="s">
        <v>1870</v>
      </c>
      <c r="K19" s="17">
        <v>23</v>
      </c>
      <c r="L19" s="29" t="s">
        <v>70</v>
      </c>
      <c r="M19" s="19">
        <v>40900</v>
      </c>
      <c r="N19" s="19">
        <v>0</v>
      </c>
      <c r="O19" s="19">
        <f t="shared" si="1"/>
        <v>940700</v>
      </c>
      <c r="P19" s="17" t="s">
        <v>69</v>
      </c>
    </row>
    <row r="20" spans="1:16" x14ac:dyDescent="0.3">
      <c r="A20" s="33" t="s">
        <v>690</v>
      </c>
      <c r="B20" s="33" t="s">
        <v>807</v>
      </c>
      <c r="C20" s="33" t="s">
        <v>1814</v>
      </c>
      <c r="D20" s="34">
        <v>44186</v>
      </c>
      <c r="E20" s="34">
        <v>44186</v>
      </c>
      <c r="F20" s="35">
        <v>4852000</v>
      </c>
      <c r="G20" s="14">
        <v>0</v>
      </c>
      <c r="H20" s="33" t="s">
        <v>401</v>
      </c>
      <c r="I20" s="36">
        <v>901211678</v>
      </c>
      <c r="J20" s="33" t="s">
        <v>1870</v>
      </c>
      <c r="K20" s="17">
        <v>80</v>
      </c>
      <c r="L20" s="29" t="s">
        <v>70</v>
      </c>
      <c r="M20" s="19">
        <v>56900</v>
      </c>
      <c r="N20" s="19">
        <v>0</v>
      </c>
      <c r="O20" s="19">
        <f t="shared" si="1"/>
        <v>4552000</v>
      </c>
      <c r="P20" s="17" t="s">
        <v>69</v>
      </c>
    </row>
    <row r="21" spans="1:16" x14ac:dyDescent="0.3">
      <c r="A21" s="9" t="s">
        <v>861</v>
      </c>
      <c r="B21" s="10" t="s">
        <v>862</v>
      </c>
      <c r="C21" s="11" t="s">
        <v>863</v>
      </c>
      <c r="D21" s="12" t="s">
        <v>864</v>
      </c>
      <c r="E21" s="12" t="s">
        <v>864</v>
      </c>
      <c r="F21" s="13">
        <v>21078782</v>
      </c>
      <c r="G21" s="14">
        <v>0</v>
      </c>
      <c r="H21" s="9" t="s">
        <v>865</v>
      </c>
      <c r="I21" s="15">
        <v>900406714</v>
      </c>
      <c r="J21" s="16" t="s">
        <v>866</v>
      </c>
      <c r="K21" s="17">
        <v>12</v>
      </c>
      <c r="L21" s="18" t="s">
        <v>70</v>
      </c>
      <c r="M21" s="19">
        <v>18487</v>
      </c>
      <c r="N21" s="19">
        <f t="shared" ref="N21:N23" si="2">M21*0.19</f>
        <v>3512.53</v>
      </c>
      <c r="O21" s="19">
        <f t="shared" si="1"/>
        <v>263994.36</v>
      </c>
      <c r="P21" s="17" t="s">
        <v>69</v>
      </c>
    </row>
    <row r="22" spans="1:16" x14ac:dyDescent="0.3">
      <c r="A22" s="9" t="s">
        <v>861</v>
      </c>
      <c r="B22" s="10" t="s">
        <v>862</v>
      </c>
      <c r="C22" s="11" t="s">
        <v>863</v>
      </c>
      <c r="D22" s="12" t="s">
        <v>864</v>
      </c>
      <c r="E22" s="12" t="s">
        <v>864</v>
      </c>
      <c r="F22" s="13">
        <v>21078782</v>
      </c>
      <c r="G22" s="14">
        <v>0</v>
      </c>
      <c r="H22" s="9" t="s">
        <v>865</v>
      </c>
      <c r="I22" s="15">
        <v>900406714</v>
      </c>
      <c r="J22" s="16" t="s">
        <v>873</v>
      </c>
      <c r="K22" s="17">
        <v>5</v>
      </c>
      <c r="L22" s="18" t="s">
        <v>70</v>
      </c>
      <c r="M22" s="19">
        <v>18487</v>
      </c>
      <c r="N22" s="19">
        <f t="shared" si="2"/>
        <v>3512.53</v>
      </c>
      <c r="O22" s="19">
        <f t="shared" si="1"/>
        <v>109997.65</v>
      </c>
      <c r="P22" s="17" t="s">
        <v>69</v>
      </c>
    </row>
    <row r="23" spans="1:16" x14ac:dyDescent="0.3">
      <c r="A23" s="9" t="s">
        <v>861</v>
      </c>
      <c r="B23" s="10" t="s">
        <v>888</v>
      </c>
      <c r="C23" s="11" t="s">
        <v>884</v>
      </c>
      <c r="D23" s="12" t="s">
        <v>885</v>
      </c>
      <c r="E23" s="12" t="s">
        <v>885</v>
      </c>
      <c r="F23" s="13">
        <v>1081500</v>
      </c>
      <c r="G23" s="14">
        <v>0</v>
      </c>
      <c r="H23" s="9" t="s">
        <v>889</v>
      </c>
      <c r="I23" s="15">
        <v>15354493</v>
      </c>
      <c r="J23" s="16" t="s">
        <v>890</v>
      </c>
      <c r="K23" s="17">
        <v>40</v>
      </c>
      <c r="L23" s="18" t="s">
        <v>70</v>
      </c>
      <c r="M23" s="19">
        <v>21260.504199999999</v>
      </c>
      <c r="N23" s="19">
        <f t="shared" si="2"/>
        <v>4039.4957979999999</v>
      </c>
      <c r="O23" s="19">
        <f t="shared" si="1"/>
        <v>1011999.99992</v>
      </c>
      <c r="P23" s="17" t="s">
        <v>69</v>
      </c>
    </row>
    <row r="24" spans="1:16" x14ac:dyDescent="0.3">
      <c r="A24" s="9" t="s">
        <v>861</v>
      </c>
      <c r="B24" s="10" t="s">
        <v>914</v>
      </c>
      <c r="C24" s="11" t="s">
        <v>915</v>
      </c>
      <c r="D24" s="12">
        <v>43986</v>
      </c>
      <c r="E24" s="12">
        <v>43986</v>
      </c>
      <c r="F24" s="13">
        <v>39927000</v>
      </c>
      <c r="G24" s="14">
        <v>0</v>
      </c>
      <c r="H24" s="9" t="s">
        <v>916</v>
      </c>
      <c r="I24" s="15">
        <v>901031972</v>
      </c>
      <c r="J24" s="16" t="s">
        <v>173</v>
      </c>
      <c r="K24" s="17">
        <v>80</v>
      </c>
      <c r="L24" s="18" t="s">
        <v>70</v>
      </c>
      <c r="M24" s="19">
        <v>45000</v>
      </c>
      <c r="N24" s="19">
        <v>0</v>
      </c>
      <c r="O24" s="19">
        <f t="shared" si="1"/>
        <v>3600000</v>
      </c>
      <c r="P24" s="17" t="s">
        <v>69</v>
      </c>
    </row>
    <row r="25" spans="1:16" x14ac:dyDescent="0.3">
      <c r="A25" s="9" t="s">
        <v>861</v>
      </c>
      <c r="B25" s="10" t="s">
        <v>150</v>
      </c>
      <c r="C25" s="11" t="s">
        <v>934</v>
      </c>
      <c r="D25" s="12">
        <v>43973</v>
      </c>
      <c r="E25" s="12">
        <v>43973</v>
      </c>
      <c r="F25" s="13">
        <v>28720000</v>
      </c>
      <c r="G25" s="14">
        <v>0</v>
      </c>
      <c r="H25" s="9" t="s">
        <v>935</v>
      </c>
      <c r="I25" s="15">
        <v>15354493</v>
      </c>
      <c r="J25" s="16" t="s">
        <v>936</v>
      </c>
      <c r="K25" s="17">
        <v>630</v>
      </c>
      <c r="L25" s="18" t="s">
        <v>70</v>
      </c>
      <c r="M25" s="19">
        <v>45000</v>
      </c>
      <c r="N25" s="19">
        <v>0</v>
      </c>
      <c r="O25" s="19">
        <f t="shared" si="1"/>
        <v>28350000</v>
      </c>
      <c r="P25" s="17" t="s">
        <v>69</v>
      </c>
    </row>
    <row r="26" spans="1:16" x14ac:dyDescent="0.3">
      <c r="A26" s="9" t="s">
        <v>861</v>
      </c>
      <c r="B26" s="10" t="s">
        <v>150</v>
      </c>
      <c r="C26" s="11" t="s">
        <v>934</v>
      </c>
      <c r="D26" s="12">
        <v>43973</v>
      </c>
      <c r="E26" s="12">
        <v>43973</v>
      </c>
      <c r="F26" s="13">
        <v>28720000</v>
      </c>
      <c r="G26" s="14">
        <v>0</v>
      </c>
      <c r="H26" s="9" t="s">
        <v>935</v>
      </c>
      <c r="I26" s="15">
        <v>15354493</v>
      </c>
      <c r="J26" s="16" t="s">
        <v>936</v>
      </c>
      <c r="K26" s="17">
        <v>4</v>
      </c>
      <c r="L26" s="18" t="s">
        <v>70</v>
      </c>
      <c r="M26" s="19">
        <v>25000</v>
      </c>
      <c r="N26" s="19">
        <v>0</v>
      </c>
      <c r="O26" s="19">
        <f t="shared" si="1"/>
        <v>100000</v>
      </c>
      <c r="P26" s="17" t="s">
        <v>69</v>
      </c>
    </row>
    <row r="27" spans="1:16" x14ac:dyDescent="0.3">
      <c r="A27" s="9" t="s">
        <v>861</v>
      </c>
      <c r="B27" s="10" t="s">
        <v>950</v>
      </c>
      <c r="C27" s="11" t="s">
        <v>951</v>
      </c>
      <c r="D27" s="12">
        <v>44084</v>
      </c>
      <c r="E27" s="12">
        <v>44088</v>
      </c>
      <c r="F27" s="13">
        <v>7802320.6500000004</v>
      </c>
      <c r="G27" s="14">
        <v>7802320.6500000004</v>
      </c>
      <c r="H27" s="9" t="s">
        <v>952</v>
      </c>
      <c r="I27" s="15" t="s">
        <v>953</v>
      </c>
      <c r="J27" s="16" t="s">
        <v>69</v>
      </c>
      <c r="K27" s="17">
        <v>190</v>
      </c>
      <c r="L27" s="18" t="s">
        <v>70</v>
      </c>
      <c r="M27" s="19">
        <v>39150</v>
      </c>
      <c r="N27" s="19">
        <v>0</v>
      </c>
      <c r="O27" s="19">
        <f t="shared" si="1"/>
        <v>7438500</v>
      </c>
      <c r="P27" s="17" t="s">
        <v>69</v>
      </c>
    </row>
    <row r="28" spans="1:16" x14ac:dyDescent="0.3">
      <c r="A28" s="9" t="s">
        <v>861</v>
      </c>
      <c r="B28" s="10" t="s">
        <v>997</v>
      </c>
      <c r="C28" s="11" t="s">
        <v>951</v>
      </c>
      <c r="D28" s="12">
        <v>44175</v>
      </c>
      <c r="E28" s="12">
        <v>44179</v>
      </c>
      <c r="F28" s="13">
        <v>15510000</v>
      </c>
      <c r="G28" s="14">
        <v>7755000</v>
      </c>
      <c r="H28" s="9" t="s">
        <v>998</v>
      </c>
      <c r="I28" s="15" t="s">
        <v>999</v>
      </c>
      <c r="J28" s="16" t="s">
        <v>69</v>
      </c>
      <c r="K28" s="17">
        <v>300</v>
      </c>
      <c r="L28" s="18" t="s">
        <v>70</v>
      </c>
      <c r="M28" s="19">
        <v>49800</v>
      </c>
      <c r="N28" s="19">
        <v>0</v>
      </c>
      <c r="O28" s="19">
        <f t="shared" si="1"/>
        <v>14940000</v>
      </c>
      <c r="P28" s="17" t="s">
        <v>69</v>
      </c>
    </row>
    <row r="29" spans="1:16" x14ac:dyDescent="0.3">
      <c r="A29" s="9" t="s">
        <v>1006</v>
      </c>
      <c r="B29" s="10" t="s">
        <v>1007</v>
      </c>
      <c r="C29" s="11" t="s">
        <v>1008</v>
      </c>
      <c r="D29" s="12">
        <v>43909</v>
      </c>
      <c r="E29" s="12">
        <v>43915</v>
      </c>
      <c r="F29" s="13">
        <v>92450981</v>
      </c>
      <c r="G29" s="14">
        <v>0</v>
      </c>
      <c r="H29" s="9" t="s">
        <v>1009</v>
      </c>
      <c r="I29" s="15">
        <v>813005241</v>
      </c>
      <c r="J29" s="16" t="s">
        <v>1878</v>
      </c>
      <c r="K29" s="17">
        <v>300</v>
      </c>
      <c r="L29" s="18" t="s">
        <v>70</v>
      </c>
      <c r="M29" s="19">
        <v>42017</v>
      </c>
      <c r="N29" s="19">
        <f t="shared" ref="N29:N30" si="3">M29*0.19</f>
        <v>7983.2300000000005</v>
      </c>
      <c r="O29" s="19">
        <f t="shared" si="1"/>
        <v>15000069.000000002</v>
      </c>
      <c r="P29" s="17" t="s">
        <v>69</v>
      </c>
    </row>
    <row r="30" spans="1:16" x14ac:dyDescent="0.3">
      <c r="A30" s="9" t="s">
        <v>1006</v>
      </c>
      <c r="B30" s="10" t="s">
        <v>1007</v>
      </c>
      <c r="C30" s="11" t="s">
        <v>1008</v>
      </c>
      <c r="D30" s="12">
        <v>43909</v>
      </c>
      <c r="E30" s="12">
        <v>43915</v>
      </c>
      <c r="F30" s="13">
        <v>92450981</v>
      </c>
      <c r="G30" s="14">
        <v>0</v>
      </c>
      <c r="H30" s="9" t="s">
        <v>1009</v>
      </c>
      <c r="I30" s="15">
        <v>813005241</v>
      </c>
      <c r="J30" s="16" t="s">
        <v>1879</v>
      </c>
      <c r="K30" s="17">
        <v>300</v>
      </c>
      <c r="L30" s="18" t="s">
        <v>70</v>
      </c>
      <c r="M30" s="19">
        <v>42017</v>
      </c>
      <c r="N30" s="19">
        <f t="shared" si="3"/>
        <v>7983.2300000000005</v>
      </c>
      <c r="O30" s="19">
        <f t="shared" si="1"/>
        <v>15000069.000000002</v>
      </c>
      <c r="P30" s="17" t="s">
        <v>69</v>
      </c>
    </row>
    <row r="31" spans="1:16" x14ac:dyDescent="0.3">
      <c r="A31" s="9" t="s">
        <v>1006</v>
      </c>
      <c r="B31" s="10" t="s">
        <v>1021</v>
      </c>
      <c r="C31" s="11" t="s">
        <v>1022</v>
      </c>
      <c r="D31" s="12">
        <v>43971</v>
      </c>
      <c r="E31" s="12">
        <v>43978</v>
      </c>
      <c r="F31" s="13">
        <v>38340000</v>
      </c>
      <c r="G31" s="14">
        <v>0</v>
      </c>
      <c r="H31" s="9" t="s">
        <v>1009</v>
      </c>
      <c r="I31" s="15">
        <v>813005241</v>
      </c>
      <c r="J31" s="16" t="s">
        <v>1883</v>
      </c>
      <c r="K31" s="17">
        <v>99</v>
      </c>
      <c r="L31" s="18" t="s">
        <v>70</v>
      </c>
      <c r="M31" s="19">
        <v>40000</v>
      </c>
      <c r="N31" s="19">
        <v>0</v>
      </c>
      <c r="O31" s="19">
        <f t="shared" si="1"/>
        <v>3960000</v>
      </c>
      <c r="P31" s="17" t="s">
        <v>69</v>
      </c>
    </row>
    <row r="32" spans="1:16" x14ac:dyDescent="0.3">
      <c r="A32" s="9" t="s">
        <v>1006</v>
      </c>
      <c r="B32" s="10" t="s">
        <v>1033</v>
      </c>
      <c r="C32" s="11" t="s">
        <v>1029</v>
      </c>
      <c r="D32" s="12">
        <v>43979</v>
      </c>
      <c r="E32" s="12">
        <v>43979</v>
      </c>
      <c r="F32" s="13">
        <v>79458450</v>
      </c>
      <c r="G32" s="14">
        <v>0</v>
      </c>
      <c r="H32" s="9" t="s">
        <v>1034</v>
      </c>
      <c r="I32" s="15">
        <v>813005241</v>
      </c>
      <c r="J32" s="16" t="s">
        <v>1901</v>
      </c>
      <c r="K32" s="17">
        <v>1791</v>
      </c>
      <c r="L32" s="18" t="s">
        <v>70</v>
      </c>
      <c r="M32" s="19">
        <v>40000</v>
      </c>
      <c r="N32" s="19">
        <v>0</v>
      </c>
      <c r="O32" s="19">
        <f t="shared" si="1"/>
        <v>71640000</v>
      </c>
      <c r="P32" s="17" t="s">
        <v>69</v>
      </c>
    </row>
    <row r="33" spans="1:16" x14ac:dyDescent="0.3">
      <c r="A33" s="9" t="s">
        <v>1050</v>
      </c>
      <c r="B33" s="10" t="s">
        <v>1071</v>
      </c>
      <c r="C33" s="11" t="s">
        <v>1072</v>
      </c>
      <c r="D33" s="12">
        <v>43965</v>
      </c>
      <c r="E33" s="12">
        <v>43965</v>
      </c>
      <c r="F33" s="13">
        <v>4840000</v>
      </c>
      <c r="G33" s="14">
        <v>0</v>
      </c>
      <c r="H33" s="9" t="s">
        <v>1073</v>
      </c>
      <c r="I33" s="15">
        <v>900175023</v>
      </c>
      <c r="J33" s="16" t="s">
        <v>69</v>
      </c>
      <c r="K33" s="17">
        <v>100</v>
      </c>
      <c r="L33" s="18" t="s">
        <v>70</v>
      </c>
      <c r="M33" s="19">
        <v>48400</v>
      </c>
      <c r="N33" s="19">
        <v>0</v>
      </c>
      <c r="O33" s="19">
        <f t="shared" si="1"/>
        <v>4840000</v>
      </c>
      <c r="P33" s="17" t="s">
        <v>69</v>
      </c>
    </row>
    <row r="34" spans="1:16" x14ac:dyDescent="0.3">
      <c r="A34" s="9" t="s">
        <v>1050</v>
      </c>
      <c r="B34" s="10" t="s">
        <v>1089</v>
      </c>
      <c r="C34" s="11" t="s">
        <v>1090</v>
      </c>
      <c r="D34" s="12">
        <v>44009</v>
      </c>
      <c r="E34" s="12">
        <v>44009</v>
      </c>
      <c r="F34" s="13">
        <v>70590000</v>
      </c>
      <c r="G34" s="14">
        <v>0</v>
      </c>
      <c r="H34" s="9" t="s">
        <v>356</v>
      </c>
      <c r="I34" s="15">
        <v>900300970</v>
      </c>
      <c r="J34" s="16" t="s">
        <v>69</v>
      </c>
      <c r="K34" s="17">
        <v>1500</v>
      </c>
      <c r="L34" s="18" t="s">
        <v>70</v>
      </c>
      <c r="M34" s="19">
        <v>47060</v>
      </c>
      <c r="N34" s="19">
        <v>0</v>
      </c>
      <c r="O34" s="19">
        <f t="shared" si="1"/>
        <v>70590000</v>
      </c>
      <c r="P34" s="17" t="s">
        <v>69</v>
      </c>
    </row>
    <row r="35" spans="1:16" x14ac:dyDescent="0.3">
      <c r="A35" s="9" t="s">
        <v>1091</v>
      </c>
      <c r="B35" s="10" t="s">
        <v>1113</v>
      </c>
      <c r="C35" s="11" t="s">
        <v>1111</v>
      </c>
      <c r="D35" s="12">
        <v>43949</v>
      </c>
      <c r="E35" s="12">
        <v>43949</v>
      </c>
      <c r="F35" s="13">
        <v>1055276.3999999999</v>
      </c>
      <c r="G35" s="14">
        <v>0</v>
      </c>
      <c r="H35" s="9" t="s">
        <v>1112</v>
      </c>
      <c r="I35" s="15">
        <v>900225460</v>
      </c>
      <c r="J35" s="16" t="s">
        <v>69</v>
      </c>
      <c r="K35" s="17">
        <v>15</v>
      </c>
      <c r="L35" s="18" t="s">
        <v>70</v>
      </c>
      <c r="M35" s="19">
        <v>70351.759999999995</v>
      </c>
      <c r="N35" s="19">
        <v>0</v>
      </c>
      <c r="O35" s="19">
        <f t="shared" si="1"/>
        <v>1055276.3999999999</v>
      </c>
      <c r="P35" s="17" t="s">
        <v>69</v>
      </c>
    </row>
    <row r="36" spans="1:16" x14ac:dyDescent="0.3">
      <c r="A36" s="9" t="s">
        <v>1091</v>
      </c>
      <c r="B36" s="10" t="s">
        <v>1258</v>
      </c>
      <c r="C36" s="11" t="s">
        <v>1259</v>
      </c>
      <c r="D36" s="12">
        <v>44099</v>
      </c>
      <c r="E36" s="12">
        <v>44099</v>
      </c>
      <c r="F36" s="13">
        <v>11758794</v>
      </c>
      <c r="G36" s="14">
        <v>0</v>
      </c>
      <c r="H36" s="9" t="s">
        <v>952</v>
      </c>
      <c r="I36" s="15">
        <v>811032857</v>
      </c>
      <c r="J36" s="16" t="s">
        <v>69</v>
      </c>
      <c r="K36" s="17">
        <v>300</v>
      </c>
      <c r="L36" s="18" t="s">
        <v>70</v>
      </c>
      <c r="M36" s="19">
        <v>39195.980000000003</v>
      </c>
      <c r="N36" s="19">
        <v>0</v>
      </c>
      <c r="O36" s="19">
        <f t="shared" si="1"/>
        <v>11758794.000000002</v>
      </c>
      <c r="P36" s="17" t="s">
        <v>69</v>
      </c>
    </row>
    <row r="37" spans="1:16" x14ac:dyDescent="0.3">
      <c r="A37" s="9" t="s">
        <v>1091</v>
      </c>
      <c r="B37" s="10" t="s">
        <v>1258</v>
      </c>
      <c r="C37" s="11" t="s">
        <v>1259</v>
      </c>
      <c r="D37" s="12">
        <v>44099</v>
      </c>
      <c r="E37" s="12">
        <v>44099</v>
      </c>
      <c r="F37" s="13"/>
      <c r="G37" s="14">
        <v>5628140</v>
      </c>
      <c r="H37" s="9" t="s">
        <v>952</v>
      </c>
      <c r="I37" s="15">
        <v>811032857</v>
      </c>
      <c r="J37" s="16" t="s">
        <v>69</v>
      </c>
      <c r="K37" s="17">
        <v>150</v>
      </c>
      <c r="L37" s="18" t="s">
        <v>70</v>
      </c>
      <c r="M37" s="19">
        <v>39195.980000000003</v>
      </c>
      <c r="N37" s="19">
        <v>0</v>
      </c>
      <c r="O37" s="19">
        <f t="shared" si="1"/>
        <v>5879397.0000000009</v>
      </c>
      <c r="P37" s="17" t="s">
        <v>69</v>
      </c>
    </row>
    <row r="38" spans="1:16" x14ac:dyDescent="0.3">
      <c r="A38" s="9" t="s">
        <v>1091</v>
      </c>
      <c r="B38" s="10" t="s">
        <v>1282</v>
      </c>
      <c r="C38" s="11" t="s">
        <v>1256</v>
      </c>
      <c r="D38" s="12">
        <v>44174</v>
      </c>
      <c r="E38" s="12">
        <v>44174</v>
      </c>
      <c r="F38" s="13">
        <v>5326633</v>
      </c>
      <c r="G38" s="14">
        <v>0</v>
      </c>
      <c r="H38" s="9" t="s">
        <v>401</v>
      </c>
      <c r="I38" s="15">
        <v>901211678</v>
      </c>
      <c r="J38" s="16" t="s">
        <v>69</v>
      </c>
      <c r="K38" s="17">
        <v>100</v>
      </c>
      <c r="L38" s="18" t="s">
        <v>70</v>
      </c>
      <c r="M38" s="19">
        <v>53266.33</v>
      </c>
      <c r="N38" s="19">
        <v>0</v>
      </c>
      <c r="O38" s="19">
        <f t="shared" si="1"/>
        <v>5326633</v>
      </c>
      <c r="P38" s="17" t="s">
        <v>69</v>
      </c>
    </row>
    <row r="39" spans="1:16" x14ac:dyDescent="0.3">
      <c r="A39" s="9" t="s">
        <v>1091</v>
      </c>
      <c r="B39" s="10" t="s">
        <v>1282</v>
      </c>
      <c r="C39" s="11" t="s">
        <v>1256</v>
      </c>
      <c r="D39" s="12">
        <v>44174</v>
      </c>
      <c r="E39" s="12">
        <v>44174</v>
      </c>
      <c r="F39" s="13"/>
      <c r="G39" s="14">
        <v>2610050.17</v>
      </c>
      <c r="H39" s="9" t="s">
        <v>401</v>
      </c>
      <c r="I39" s="15">
        <v>901211678</v>
      </c>
      <c r="J39" s="16" t="s">
        <v>69</v>
      </c>
      <c r="K39" s="17">
        <v>49</v>
      </c>
      <c r="L39" s="18" t="s">
        <v>70</v>
      </c>
      <c r="M39" s="19">
        <v>53266.33</v>
      </c>
      <c r="N39" s="19">
        <v>0</v>
      </c>
      <c r="O39" s="19">
        <f t="shared" si="1"/>
        <v>2610050.17</v>
      </c>
      <c r="P39" s="17" t="s">
        <v>69</v>
      </c>
    </row>
    <row r="40" spans="1:16" x14ac:dyDescent="0.3">
      <c r="A40" s="9" t="s">
        <v>1091</v>
      </c>
      <c r="B40" s="10" t="s">
        <v>1283</v>
      </c>
      <c r="C40" s="11" t="s">
        <v>1256</v>
      </c>
      <c r="D40" s="12">
        <v>44174</v>
      </c>
      <c r="E40" s="12">
        <v>44174</v>
      </c>
      <c r="F40" s="13">
        <v>15015075</v>
      </c>
      <c r="G40" s="14">
        <v>0</v>
      </c>
      <c r="H40" s="9" t="s">
        <v>998</v>
      </c>
      <c r="I40" s="15">
        <v>900201322</v>
      </c>
      <c r="J40" s="16" t="s">
        <v>69</v>
      </c>
      <c r="K40" s="17">
        <v>300</v>
      </c>
      <c r="L40" s="18" t="s">
        <v>70</v>
      </c>
      <c r="M40" s="19">
        <v>50050.25</v>
      </c>
      <c r="N40" s="19">
        <v>0</v>
      </c>
      <c r="O40" s="19">
        <f t="shared" si="1"/>
        <v>15015075</v>
      </c>
      <c r="P40" s="17" t="s">
        <v>69</v>
      </c>
    </row>
    <row r="41" spans="1:16" x14ac:dyDescent="0.3">
      <c r="A41" s="9" t="s">
        <v>1091</v>
      </c>
      <c r="B41" s="10" t="s">
        <v>1288</v>
      </c>
      <c r="C41" s="11" t="s">
        <v>1289</v>
      </c>
      <c r="D41" s="12">
        <v>44180</v>
      </c>
      <c r="E41" s="12">
        <v>44180</v>
      </c>
      <c r="F41" s="13">
        <v>43417089</v>
      </c>
      <c r="G41" s="14">
        <v>0</v>
      </c>
      <c r="H41" s="9" t="s">
        <v>1290</v>
      </c>
      <c r="I41" s="15">
        <v>804002957</v>
      </c>
      <c r="J41" s="16" t="s">
        <v>69</v>
      </c>
      <c r="K41" s="17">
        <v>900</v>
      </c>
      <c r="L41" s="18" t="s">
        <v>70</v>
      </c>
      <c r="M41" s="19">
        <v>48241.21</v>
      </c>
      <c r="N41" s="19">
        <v>0</v>
      </c>
      <c r="O41" s="19">
        <f t="shared" si="1"/>
        <v>43417089</v>
      </c>
      <c r="P41" s="17" t="s">
        <v>69</v>
      </c>
    </row>
    <row r="42" spans="1:16" x14ac:dyDescent="0.3">
      <c r="A42" s="9" t="s">
        <v>1291</v>
      </c>
      <c r="B42" s="10" t="s">
        <v>1292</v>
      </c>
      <c r="C42" s="11" t="s">
        <v>1293</v>
      </c>
      <c r="D42" s="12">
        <v>43915</v>
      </c>
      <c r="E42" s="12">
        <v>43916</v>
      </c>
      <c r="F42" s="13">
        <v>79231499</v>
      </c>
      <c r="G42" s="14">
        <v>0</v>
      </c>
      <c r="H42" s="9" t="s">
        <v>1294</v>
      </c>
      <c r="I42" s="15">
        <v>900916649</v>
      </c>
      <c r="J42" s="16" t="s">
        <v>505</v>
      </c>
      <c r="K42" s="17">
        <v>150</v>
      </c>
      <c r="L42" s="18" t="s">
        <v>70</v>
      </c>
      <c r="M42" s="19">
        <v>35000</v>
      </c>
      <c r="N42" s="19">
        <v>0</v>
      </c>
      <c r="O42" s="19">
        <f t="shared" si="1"/>
        <v>5250000</v>
      </c>
      <c r="P42" s="17" t="s">
        <v>69</v>
      </c>
    </row>
    <row r="43" spans="1:16" x14ac:dyDescent="0.3">
      <c r="A43" s="9" t="s">
        <v>1291</v>
      </c>
      <c r="B43" s="10">
        <v>50258</v>
      </c>
      <c r="C43" s="11" t="s">
        <v>2305</v>
      </c>
      <c r="D43" s="12">
        <v>43992</v>
      </c>
      <c r="E43" s="12">
        <v>43992</v>
      </c>
      <c r="F43" s="13">
        <v>5790336</v>
      </c>
      <c r="G43" s="14">
        <v>0</v>
      </c>
      <c r="H43" s="9" t="s">
        <v>172</v>
      </c>
      <c r="I43" s="15">
        <v>900155107</v>
      </c>
      <c r="J43" s="16" t="s">
        <v>505</v>
      </c>
      <c r="K43" s="17">
        <v>136</v>
      </c>
      <c r="L43" s="18" t="s">
        <v>70</v>
      </c>
      <c r="M43" s="19">
        <v>42576</v>
      </c>
      <c r="N43" s="19">
        <v>0</v>
      </c>
      <c r="O43" s="19">
        <f t="shared" si="1"/>
        <v>5790336</v>
      </c>
      <c r="P43" s="17" t="s">
        <v>69</v>
      </c>
    </row>
    <row r="44" spans="1:16" x14ac:dyDescent="0.3">
      <c r="A44" s="9" t="s">
        <v>1291</v>
      </c>
      <c r="B44" s="10">
        <v>62166</v>
      </c>
      <c r="C44" s="11" t="s">
        <v>2222</v>
      </c>
      <c r="D44" s="12">
        <v>44182</v>
      </c>
      <c r="E44" s="12">
        <v>44182</v>
      </c>
      <c r="F44" s="13">
        <v>17070000</v>
      </c>
      <c r="G44" s="14">
        <v>0</v>
      </c>
      <c r="H44" s="9" t="s">
        <v>401</v>
      </c>
      <c r="I44" s="15">
        <v>901211678</v>
      </c>
      <c r="J44" s="16" t="s">
        <v>2223</v>
      </c>
      <c r="K44" s="17">
        <v>300</v>
      </c>
      <c r="L44" s="18" t="s">
        <v>70</v>
      </c>
      <c r="M44" s="19">
        <v>56900</v>
      </c>
      <c r="N44" s="19">
        <v>0</v>
      </c>
      <c r="O44" s="19">
        <f t="shared" si="1"/>
        <v>17070000</v>
      </c>
      <c r="P44" s="17" t="s">
        <v>69</v>
      </c>
    </row>
    <row r="45" spans="1:16" x14ac:dyDescent="0.3">
      <c r="A45" s="9" t="s">
        <v>1306</v>
      </c>
      <c r="B45" s="10" t="s">
        <v>2058</v>
      </c>
      <c r="C45" s="11" t="s">
        <v>1370</v>
      </c>
      <c r="D45" s="12">
        <v>43971</v>
      </c>
      <c r="E45" s="12">
        <v>43971</v>
      </c>
      <c r="F45" s="13">
        <v>11737650</v>
      </c>
      <c r="G45" s="14">
        <v>0</v>
      </c>
      <c r="H45" s="9" t="s">
        <v>1371</v>
      </c>
      <c r="I45" s="15">
        <v>900350133</v>
      </c>
      <c r="J45" s="16" t="s">
        <v>69</v>
      </c>
      <c r="K45" s="17">
        <v>199</v>
      </c>
      <c r="L45" s="18" t="s">
        <v>70</v>
      </c>
      <c r="M45" s="19">
        <v>58983.165829145699</v>
      </c>
      <c r="N45" s="19">
        <v>0</v>
      </c>
      <c r="O45" s="19">
        <f t="shared" si="1"/>
        <v>11737649.999999994</v>
      </c>
      <c r="P45" s="17" t="s">
        <v>69</v>
      </c>
    </row>
    <row r="46" spans="1:16" x14ac:dyDescent="0.3">
      <c r="A46" s="9" t="s">
        <v>1306</v>
      </c>
      <c r="B46" s="10" t="s">
        <v>1397</v>
      </c>
      <c r="C46" s="11" t="s">
        <v>1398</v>
      </c>
      <c r="D46" s="12">
        <v>44089</v>
      </c>
      <c r="E46" s="12">
        <v>44089</v>
      </c>
      <c r="F46" s="13">
        <v>5161930</v>
      </c>
      <c r="G46" s="14">
        <v>0</v>
      </c>
      <c r="H46" s="9" t="s">
        <v>952</v>
      </c>
      <c r="I46" s="15" t="s">
        <v>953</v>
      </c>
      <c r="J46" s="16" t="s">
        <v>1920</v>
      </c>
      <c r="K46" s="17">
        <v>126</v>
      </c>
      <c r="L46" s="18" t="s">
        <v>70</v>
      </c>
      <c r="M46" s="19">
        <v>39150</v>
      </c>
      <c r="N46" s="19">
        <v>0</v>
      </c>
      <c r="O46" s="19">
        <f t="shared" si="1"/>
        <v>4932900</v>
      </c>
      <c r="P46" s="17" t="s">
        <v>69</v>
      </c>
    </row>
    <row r="47" spans="1:16" x14ac:dyDescent="0.3">
      <c r="A47" s="9" t="s">
        <v>1306</v>
      </c>
      <c r="B47" s="10" t="s">
        <v>1433</v>
      </c>
      <c r="C47" s="11" t="s">
        <v>1418</v>
      </c>
      <c r="D47" s="12">
        <v>44194</v>
      </c>
      <c r="E47" s="12">
        <v>44194</v>
      </c>
      <c r="F47" s="13">
        <v>7458720</v>
      </c>
      <c r="G47" s="14">
        <v>0</v>
      </c>
      <c r="H47" s="9" t="s">
        <v>332</v>
      </c>
      <c r="I47" s="15" t="s">
        <v>1407</v>
      </c>
      <c r="J47" s="16" t="s">
        <v>1933</v>
      </c>
      <c r="K47" s="17">
        <v>160</v>
      </c>
      <c r="L47" s="18" t="s">
        <v>70</v>
      </c>
      <c r="M47" s="19">
        <v>46617</v>
      </c>
      <c r="N47" s="19">
        <v>0</v>
      </c>
      <c r="O47" s="19">
        <f t="shared" si="1"/>
        <v>7458720</v>
      </c>
      <c r="P47" s="17" t="s">
        <v>69</v>
      </c>
    </row>
    <row r="48" spans="1:16" x14ac:dyDescent="0.3">
      <c r="A48" s="9" t="s">
        <v>1306</v>
      </c>
      <c r="B48" s="10" t="s">
        <v>1434</v>
      </c>
      <c r="C48" s="11" t="s">
        <v>1435</v>
      </c>
      <c r="D48" s="12">
        <v>44195</v>
      </c>
      <c r="E48" s="12">
        <v>44195</v>
      </c>
      <c r="F48" s="13">
        <v>8168040</v>
      </c>
      <c r="G48" s="14">
        <v>0</v>
      </c>
      <c r="H48" s="9" t="s">
        <v>172</v>
      </c>
      <c r="I48" s="15" t="s">
        <v>1436</v>
      </c>
      <c r="J48" s="16" t="s">
        <v>1962</v>
      </c>
      <c r="K48" s="17">
        <v>162</v>
      </c>
      <c r="L48" s="18" t="s">
        <v>70</v>
      </c>
      <c r="M48" s="19">
        <v>50420</v>
      </c>
      <c r="N48" s="19">
        <v>0</v>
      </c>
      <c r="O48" s="19">
        <f t="shared" si="1"/>
        <v>8168040</v>
      </c>
      <c r="P48" s="17" t="s">
        <v>69</v>
      </c>
    </row>
    <row r="49" spans="1:16" x14ac:dyDescent="0.3">
      <c r="A49" s="9" t="s">
        <v>1437</v>
      </c>
      <c r="B49" s="10" t="s">
        <v>2070</v>
      </c>
      <c r="C49" s="11" t="s">
        <v>1438</v>
      </c>
      <c r="D49" s="12">
        <v>43477</v>
      </c>
      <c r="E49" s="12">
        <v>43800</v>
      </c>
      <c r="F49" s="13">
        <v>0</v>
      </c>
      <c r="G49" s="14">
        <v>67434392</v>
      </c>
      <c r="H49" s="9" t="s">
        <v>1439</v>
      </c>
      <c r="I49" s="15">
        <v>811044253</v>
      </c>
      <c r="J49" s="16" t="s">
        <v>1442</v>
      </c>
      <c r="K49" s="17">
        <v>300</v>
      </c>
      <c r="L49" s="18" t="s">
        <v>70</v>
      </c>
      <c r="M49" s="19">
        <v>53200</v>
      </c>
      <c r="N49" s="19">
        <v>0</v>
      </c>
      <c r="O49" s="19">
        <f t="shared" si="1"/>
        <v>15960000</v>
      </c>
      <c r="P49" s="17" t="s">
        <v>69</v>
      </c>
    </row>
    <row r="50" spans="1:16" x14ac:dyDescent="0.3">
      <c r="A50" s="9" t="s">
        <v>1437</v>
      </c>
      <c r="B50" s="10" t="s">
        <v>2073</v>
      </c>
      <c r="C50" s="11" t="s">
        <v>1823</v>
      </c>
      <c r="D50" s="12">
        <v>44147</v>
      </c>
      <c r="E50" s="12">
        <v>44147</v>
      </c>
      <c r="F50" s="13">
        <v>23991043.460000001</v>
      </c>
      <c r="G50" s="14">
        <v>0</v>
      </c>
      <c r="H50" s="9" t="s">
        <v>1460</v>
      </c>
      <c r="I50" s="15" t="s">
        <v>1461</v>
      </c>
      <c r="J50" s="16" t="s">
        <v>734</v>
      </c>
      <c r="K50" s="17">
        <v>500</v>
      </c>
      <c r="L50" s="18" t="s">
        <v>70</v>
      </c>
      <c r="M50" s="19">
        <v>47982.080000000002</v>
      </c>
      <c r="N50" s="19">
        <v>0</v>
      </c>
      <c r="O50" s="19">
        <f t="shared" si="1"/>
        <v>23991040</v>
      </c>
      <c r="P50" s="17" t="s">
        <v>69</v>
      </c>
    </row>
    <row r="51" spans="1:16" x14ac:dyDescent="0.3">
      <c r="A51" s="9" t="s">
        <v>1472</v>
      </c>
      <c r="B51" s="10" t="s">
        <v>1486</v>
      </c>
      <c r="C51" s="11" t="s">
        <v>1474</v>
      </c>
      <c r="D51" s="12">
        <v>43937</v>
      </c>
      <c r="E51" s="12">
        <v>43937</v>
      </c>
      <c r="F51" s="13">
        <v>36963400</v>
      </c>
      <c r="G51" s="14">
        <v>0</v>
      </c>
      <c r="H51" s="9" t="s">
        <v>1487</v>
      </c>
      <c r="I51" s="15">
        <v>901008660</v>
      </c>
      <c r="J51" s="16" t="s">
        <v>1490</v>
      </c>
      <c r="K51" s="17">
        <v>200</v>
      </c>
      <c r="L51" s="29" t="s">
        <v>70</v>
      </c>
      <c r="M51" s="19">
        <v>37815</v>
      </c>
      <c r="N51" s="19">
        <v>0</v>
      </c>
      <c r="O51" s="19">
        <f t="shared" si="1"/>
        <v>7563000</v>
      </c>
      <c r="P51" s="17" t="s">
        <v>69</v>
      </c>
    </row>
    <row r="52" spans="1:16" x14ac:dyDescent="0.3">
      <c r="A52" s="9" t="s">
        <v>1472</v>
      </c>
      <c r="B52" s="10" t="s">
        <v>1552</v>
      </c>
      <c r="C52" s="11" t="s">
        <v>1553</v>
      </c>
      <c r="D52" s="12">
        <v>44008</v>
      </c>
      <c r="E52" s="12">
        <v>44008</v>
      </c>
      <c r="F52" s="13">
        <v>5828191.8300000001</v>
      </c>
      <c r="G52" s="14">
        <v>0</v>
      </c>
      <c r="H52" s="9" t="s">
        <v>356</v>
      </c>
      <c r="I52" s="15">
        <v>900300970</v>
      </c>
      <c r="J52" s="16" t="s">
        <v>734</v>
      </c>
      <c r="K52" s="17">
        <v>115</v>
      </c>
      <c r="L52" s="29" t="s">
        <v>70</v>
      </c>
      <c r="M52" s="19">
        <v>49893.62</v>
      </c>
      <c r="N52" s="19">
        <v>0</v>
      </c>
      <c r="O52" s="19">
        <f t="shared" si="1"/>
        <v>5737766.3000000007</v>
      </c>
      <c r="P52" s="17" t="s">
        <v>69</v>
      </c>
    </row>
    <row r="53" spans="1:16" x14ac:dyDescent="0.3">
      <c r="A53" s="9" t="s">
        <v>1472</v>
      </c>
      <c r="B53" s="10" t="s">
        <v>1561</v>
      </c>
      <c r="C53" s="11" t="s">
        <v>1562</v>
      </c>
      <c r="D53" s="12">
        <v>43770</v>
      </c>
      <c r="E53" s="12">
        <v>43936</v>
      </c>
      <c r="F53" s="13">
        <v>0</v>
      </c>
      <c r="G53" s="14">
        <v>31068000</v>
      </c>
      <c r="H53" s="9" t="s">
        <v>1563</v>
      </c>
      <c r="I53" s="15">
        <v>812000152</v>
      </c>
      <c r="J53" s="16" t="s">
        <v>734</v>
      </c>
      <c r="K53" s="17">
        <v>15</v>
      </c>
      <c r="L53" s="29" t="s">
        <v>70</v>
      </c>
      <c r="M53" s="19">
        <v>44000</v>
      </c>
      <c r="N53" s="19">
        <v>0</v>
      </c>
      <c r="O53" s="19">
        <f t="shared" si="1"/>
        <v>660000</v>
      </c>
      <c r="P53" s="17" t="s">
        <v>69</v>
      </c>
    </row>
    <row r="54" spans="1:16" x14ac:dyDescent="0.3">
      <c r="A54" s="9" t="s">
        <v>1571</v>
      </c>
      <c r="B54" s="10" t="s">
        <v>2085</v>
      </c>
      <c r="C54" s="11" t="s">
        <v>1593</v>
      </c>
      <c r="D54" s="12">
        <v>43985</v>
      </c>
      <c r="E54" s="12">
        <v>43985</v>
      </c>
      <c r="F54" s="13">
        <v>7742500</v>
      </c>
      <c r="G54" s="14">
        <v>0</v>
      </c>
      <c r="H54" s="9" t="s">
        <v>1594</v>
      </c>
      <c r="I54" s="15">
        <v>1057514074</v>
      </c>
      <c r="J54" s="16" t="s">
        <v>1595</v>
      </c>
      <c r="K54" s="17">
        <v>163</v>
      </c>
      <c r="L54" s="18" t="s">
        <v>70</v>
      </c>
      <c r="M54" s="19">
        <v>47500</v>
      </c>
      <c r="N54" s="19">
        <v>0</v>
      </c>
      <c r="O54" s="19">
        <f t="shared" si="1"/>
        <v>7742500</v>
      </c>
      <c r="P54" s="17" t="s">
        <v>69</v>
      </c>
    </row>
    <row r="55" spans="1:16" x14ac:dyDescent="0.3">
      <c r="A55" s="9" t="s">
        <v>1571</v>
      </c>
      <c r="B55" s="10" t="s">
        <v>2107</v>
      </c>
      <c r="C55" s="11" t="s">
        <v>1829</v>
      </c>
      <c r="D55" s="12">
        <v>44106</v>
      </c>
      <c r="E55" s="12">
        <v>44106</v>
      </c>
      <c r="F55" s="13">
        <v>19944445</v>
      </c>
      <c r="G55" s="14">
        <v>0</v>
      </c>
      <c r="H55" s="9" t="s">
        <v>797</v>
      </c>
      <c r="I55" s="15">
        <v>830051855</v>
      </c>
      <c r="J55" s="16" t="s">
        <v>1595</v>
      </c>
      <c r="K55" s="17">
        <v>500</v>
      </c>
      <c r="L55" s="18" t="s">
        <v>70</v>
      </c>
      <c r="M55" s="19">
        <v>39888.89</v>
      </c>
      <c r="N55" s="19">
        <v>0</v>
      </c>
      <c r="O55" s="19">
        <f t="shared" si="1"/>
        <v>19944445</v>
      </c>
      <c r="P55" s="17" t="s">
        <v>69</v>
      </c>
    </row>
    <row r="56" spans="1:16" x14ac:dyDescent="0.3">
      <c r="A56" s="9" t="s">
        <v>1571</v>
      </c>
      <c r="B56" s="10" t="s">
        <v>2112</v>
      </c>
      <c r="C56" s="11" t="s">
        <v>1829</v>
      </c>
      <c r="D56" s="12">
        <v>44182</v>
      </c>
      <c r="E56" s="12">
        <v>44182</v>
      </c>
      <c r="F56" s="13">
        <v>17242425</v>
      </c>
      <c r="G56" s="14">
        <v>0</v>
      </c>
      <c r="H56" s="9" t="s">
        <v>401</v>
      </c>
      <c r="I56" s="15">
        <v>901211678</v>
      </c>
      <c r="J56" s="16" t="s">
        <v>1595</v>
      </c>
      <c r="K56" s="17">
        <v>300</v>
      </c>
      <c r="L56" s="18" t="s">
        <v>70</v>
      </c>
      <c r="M56" s="19">
        <v>57474.75</v>
      </c>
      <c r="N56" s="19">
        <v>0</v>
      </c>
      <c r="O56" s="19">
        <f t="shared" si="1"/>
        <v>17242425</v>
      </c>
      <c r="P56" s="17" t="s">
        <v>69</v>
      </c>
    </row>
    <row r="57" spans="1:16" x14ac:dyDescent="0.3">
      <c r="A57" s="9" t="s">
        <v>1629</v>
      </c>
      <c r="B57" s="10" t="s">
        <v>2120</v>
      </c>
      <c r="C57" s="11" t="s">
        <v>1832</v>
      </c>
      <c r="D57" s="12">
        <v>44049</v>
      </c>
      <c r="E57" s="12">
        <v>44049</v>
      </c>
      <c r="F57" s="13">
        <v>10895833.33</v>
      </c>
      <c r="G57" s="14">
        <v>0</v>
      </c>
      <c r="H57" s="9" t="s">
        <v>1261</v>
      </c>
      <c r="I57" s="15">
        <v>900567130</v>
      </c>
      <c r="J57" s="16" t="s">
        <v>1683</v>
      </c>
      <c r="K57" s="17">
        <v>137</v>
      </c>
      <c r="L57" s="18" t="s">
        <v>70</v>
      </c>
      <c r="M57" s="19">
        <v>46875</v>
      </c>
      <c r="N57" s="19">
        <v>0</v>
      </c>
      <c r="O57" s="19">
        <f t="shared" si="1"/>
        <v>6421875</v>
      </c>
      <c r="P57" s="17" t="s">
        <v>69</v>
      </c>
    </row>
    <row r="58" spans="1:16" x14ac:dyDescent="0.3">
      <c r="A58" s="9" t="s">
        <v>1629</v>
      </c>
      <c r="B58" s="10" t="s">
        <v>2120</v>
      </c>
      <c r="C58" s="11" t="s">
        <v>1832</v>
      </c>
      <c r="D58" s="12">
        <v>44049</v>
      </c>
      <c r="E58" s="12">
        <v>44049</v>
      </c>
      <c r="F58" s="13">
        <v>10895833.33</v>
      </c>
      <c r="G58" s="14">
        <v>0</v>
      </c>
      <c r="H58" s="9" t="s">
        <v>1261</v>
      </c>
      <c r="I58" s="15">
        <v>900567130</v>
      </c>
      <c r="J58" s="16" t="s">
        <v>1683</v>
      </c>
      <c r="K58" s="17">
        <v>91</v>
      </c>
      <c r="L58" s="18" t="s">
        <v>70</v>
      </c>
      <c r="M58" s="19">
        <v>46875</v>
      </c>
      <c r="N58" s="19">
        <v>0</v>
      </c>
      <c r="O58" s="19">
        <f t="shared" si="1"/>
        <v>4265625</v>
      </c>
      <c r="P58" s="17" t="s">
        <v>69</v>
      </c>
    </row>
    <row r="59" spans="1:16" x14ac:dyDescent="0.3">
      <c r="A59" s="9" t="s">
        <v>1629</v>
      </c>
      <c r="B59" s="10" t="s">
        <v>2122</v>
      </c>
      <c r="C59" s="11" t="s">
        <v>1834</v>
      </c>
      <c r="D59" s="12">
        <v>44152</v>
      </c>
      <c r="E59" s="12">
        <v>44152</v>
      </c>
      <c r="F59" s="13">
        <v>998000</v>
      </c>
      <c r="G59" s="14">
        <v>0</v>
      </c>
      <c r="H59" s="9" t="s">
        <v>1685</v>
      </c>
      <c r="I59" s="15">
        <v>830051855</v>
      </c>
      <c r="J59" s="16" t="s">
        <v>69</v>
      </c>
      <c r="K59" s="17">
        <v>20</v>
      </c>
      <c r="L59" s="18" t="s">
        <v>70</v>
      </c>
      <c r="M59" s="19">
        <v>40900</v>
      </c>
      <c r="N59" s="19">
        <v>0</v>
      </c>
      <c r="O59" s="19">
        <f t="shared" si="1"/>
        <v>818000</v>
      </c>
      <c r="P59" s="17" t="s">
        <v>69</v>
      </c>
    </row>
    <row r="60" spans="1:16" x14ac:dyDescent="0.3">
      <c r="A60" s="9" t="s">
        <v>1629</v>
      </c>
      <c r="B60" s="10" t="s">
        <v>2125</v>
      </c>
      <c r="C60" s="11" t="s">
        <v>1837</v>
      </c>
      <c r="D60" s="12">
        <v>44152</v>
      </c>
      <c r="E60" s="12">
        <v>44152</v>
      </c>
      <c r="F60" s="13">
        <v>488541.7</v>
      </c>
      <c r="G60" s="14">
        <v>0</v>
      </c>
      <c r="H60" s="9" t="s">
        <v>1685</v>
      </c>
      <c r="I60" s="15">
        <v>830051855</v>
      </c>
      <c r="J60" s="16" t="s">
        <v>69</v>
      </c>
      <c r="K60" s="17">
        <v>10</v>
      </c>
      <c r="L60" s="18" t="s">
        <v>70</v>
      </c>
      <c r="M60" s="19">
        <v>42604.17</v>
      </c>
      <c r="N60" s="19">
        <v>0</v>
      </c>
      <c r="O60" s="19">
        <f t="shared" si="1"/>
        <v>426041.69999999995</v>
      </c>
      <c r="P60" s="17" t="s">
        <v>69</v>
      </c>
    </row>
    <row r="61" spans="1:16" x14ac:dyDescent="0.3">
      <c r="A61" s="9" t="s">
        <v>1692</v>
      </c>
      <c r="B61" s="10" t="s">
        <v>1714</v>
      </c>
      <c r="C61" s="11" t="s">
        <v>1715</v>
      </c>
      <c r="D61" s="12">
        <v>43971</v>
      </c>
      <c r="E61" s="12">
        <v>43971</v>
      </c>
      <c r="F61" s="13">
        <v>3036300</v>
      </c>
      <c r="G61" s="14">
        <v>0</v>
      </c>
      <c r="H61" s="9" t="s">
        <v>1716</v>
      </c>
      <c r="I61" s="15">
        <v>900350133</v>
      </c>
      <c r="J61" s="16" t="s">
        <v>1717</v>
      </c>
      <c r="K61" s="17">
        <v>58</v>
      </c>
      <c r="L61" s="18" t="s">
        <v>70</v>
      </c>
      <c r="M61" s="19">
        <v>52350</v>
      </c>
      <c r="N61" s="19">
        <v>0</v>
      </c>
      <c r="O61" s="19">
        <f t="shared" si="1"/>
        <v>3036300</v>
      </c>
      <c r="P61" s="17" t="s">
        <v>69</v>
      </c>
    </row>
    <row r="62" spans="1:16" x14ac:dyDescent="0.3">
      <c r="A62" s="9" t="s">
        <v>1692</v>
      </c>
      <c r="B62" s="10" t="s">
        <v>1744</v>
      </c>
      <c r="C62" s="11" t="s">
        <v>1740</v>
      </c>
      <c r="D62" s="12">
        <v>44008</v>
      </c>
      <c r="E62" s="12">
        <v>44008</v>
      </c>
      <c r="F62" s="13">
        <v>2844000</v>
      </c>
      <c r="G62" s="14">
        <v>0</v>
      </c>
      <c r="H62" s="9" t="s">
        <v>356</v>
      </c>
      <c r="I62" s="15">
        <v>900300970</v>
      </c>
      <c r="J62" s="16" t="s">
        <v>69</v>
      </c>
      <c r="K62" s="17">
        <v>60</v>
      </c>
      <c r="L62" s="18" t="s">
        <v>70</v>
      </c>
      <c r="M62" s="19">
        <v>46900</v>
      </c>
      <c r="N62" s="19">
        <v>0</v>
      </c>
      <c r="O62" s="19">
        <f t="shared" si="1"/>
        <v>2814000</v>
      </c>
      <c r="P62" s="17" t="s">
        <v>69</v>
      </c>
    </row>
    <row r="63" spans="1:16" x14ac:dyDescent="0.3">
      <c r="A63" s="9" t="s">
        <v>1692</v>
      </c>
      <c r="B63" s="10" t="s">
        <v>2142</v>
      </c>
      <c r="C63" s="11" t="s">
        <v>2159</v>
      </c>
      <c r="D63" s="12" t="s">
        <v>2143</v>
      </c>
      <c r="E63" s="12" t="s">
        <v>2143</v>
      </c>
      <c r="F63" s="13">
        <v>1908000</v>
      </c>
      <c r="G63" s="14">
        <v>0</v>
      </c>
      <c r="H63" s="9" t="s">
        <v>2144</v>
      </c>
      <c r="I63" s="15">
        <v>901261986</v>
      </c>
      <c r="J63" s="16" t="s">
        <v>69</v>
      </c>
      <c r="K63" s="17">
        <v>53</v>
      </c>
      <c r="L63" s="18" t="s">
        <v>70</v>
      </c>
      <c r="M63" s="19">
        <v>36000</v>
      </c>
      <c r="N63" s="19">
        <v>0</v>
      </c>
      <c r="O63" s="19">
        <f>K63*(M63+N63)</f>
        <v>1908000</v>
      </c>
      <c r="P63" s="17" t="s">
        <v>69</v>
      </c>
    </row>
    <row r="64" spans="1:16" x14ac:dyDescent="0.3">
      <c r="A64" s="9" t="s">
        <v>1692</v>
      </c>
      <c r="B64" s="10" t="s">
        <v>2150</v>
      </c>
      <c r="C64" s="11" t="s">
        <v>2159</v>
      </c>
      <c r="D64" s="12">
        <v>44161</v>
      </c>
      <c r="E64" s="12">
        <v>44161</v>
      </c>
      <c r="F64" s="13">
        <v>5549900</v>
      </c>
      <c r="G64" s="14">
        <v>0</v>
      </c>
      <c r="H64" s="9" t="s">
        <v>2151</v>
      </c>
      <c r="I64" s="15">
        <v>830051855</v>
      </c>
      <c r="J64" s="16" t="s">
        <v>69</v>
      </c>
      <c r="K64" s="17">
        <v>127</v>
      </c>
      <c r="L64" s="18" t="s">
        <v>70</v>
      </c>
      <c r="M64" s="19">
        <v>43700</v>
      </c>
      <c r="N64" s="19">
        <v>0</v>
      </c>
      <c r="O64" s="19">
        <f t="shared" ref="O64:O65" si="4">K64*(M64+N64)</f>
        <v>5549900</v>
      </c>
      <c r="P64" s="17" t="s">
        <v>69</v>
      </c>
    </row>
    <row r="65" spans="1:16" x14ac:dyDescent="0.3">
      <c r="A65" s="9" t="s">
        <v>1692</v>
      </c>
      <c r="B65" s="10" t="s">
        <v>2156</v>
      </c>
      <c r="C65" s="11" t="s">
        <v>2159</v>
      </c>
      <c r="D65" s="12">
        <v>44161</v>
      </c>
      <c r="E65" s="12">
        <v>44161</v>
      </c>
      <c r="F65" s="13">
        <v>6496000</v>
      </c>
      <c r="G65" s="14">
        <v>0</v>
      </c>
      <c r="H65" s="9" t="s">
        <v>2157</v>
      </c>
      <c r="I65" s="15">
        <v>90079167</v>
      </c>
      <c r="J65" s="16" t="s">
        <v>69</v>
      </c>
      <c r="K65" s="17">
        <v>127</v>
      </c>
      <c r="L65" s="18" t="s">
        <v>70</v>
      </c>
      <c r="M65" s="19">
        <v>48000</v>
      </c>
      <c r="N65" s="19">
        <v>0</v>
      </c>
      <c r="O65" s="19">
        <f t="shared" si="4"/>
        <v>6096000</v>
      </c>
      <c r="P65" s="17" t="s">
        <v>69</v>
      </c>
    </row>
  </sheetData>
  <dataValidations count="14">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3:I3 E9:E11 E14 E19:E22 E24 E50:E51 A2 E31 A3:B3 G57:G6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11 F14 F19:F22 F24 F31 F42 F4 F9 F50:F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51 A8:A9 A11:A30 A42:A44 A6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4 I11 I13:I14">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14:H16 H19:H22 H42 H25:H31 H54 H4 H9:H12 H48 H50:H51 H61:H6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45:E45 D9:D11 D14 D19:D24 D31 D42:E42 D50:D51">
      <formula1>1900/1/1</formula1>
      <formula2>3000/1/1</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19:I22 I26 I31 I42 I54 I9 I50:I51 I61:I6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9 B11:B12 B14:B16 B19:B25 B27:B31 B42 B50:B5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15:E16 D18:E18 D25:E30 D32:E41 D49:E49 E13 D12:E12 D54:E54 D57:E65">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54 F12 F15 F26:F30 F47:F48 F61:F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A6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C16 J63 P63">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7:G18 G21 G42 G50:G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26 B57:B65">
      <formula1>0</formula1>
      <formula2>390</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J1" workbookViewId="0">
      <selection activeCell="M2" sqref="M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17</v>
      </c>
      <c r="C2" s="11" t="s">
        <v>18</v>
      </c>
      <c r="D2" s="12">
        <v>43910</v>
      </c>
      <c r="E2" s="12">
        <v>43910</v>
      </c>
      <c r="F2" s="13">
        <v>2573970</v>
      </c>
      <c r="G2" s="14">
        <v>0</v>
      </c>
      <c r="H2" s="9" t="s">
        <v>19</v>
      </c>
      <c r="I2" s="15">
        <v>901095058</v>
      </c>
      <c r="J2" s="16" t="s">
        <v>23</v>
      </c>
      <c r="K2" s="17">
        <v>12</v>
      </c>
      <c r="L2" s="20" t="s">
        <v>24</v>
      </c>
      <c r="M2" s="19">
        <v>6500</v>
      </c>
      <c r="N2" s="19">
        <f>M2*0.19</f>
        <v>1235</v>
      </c>
      <c r="O2" s="19">
        <f t="shared" ref="O2:O3" si="0">K2*(M2+N2)</f>
        <v>92820</v>
      </c>
      <c r="P2" s="21" t="s">
        <v>25</v>
      </c>
    </row>
    <row r="3" spans="1:16" x14ac:dyDescent="0.3">
      <c r="A3" s="9" t="s">
        <v>1291</v>
      </c>
      <c r="B3" s="10" t="s">
        <v>1292</v>
      </c>
      <c r="C3" s="11" t="s">
        <v>1293</v>
      </c>
      <c r="D3" s="12">
        <v>43915</v>
      </c>
      <c r="E3" s="12">
        <v>43916</v>
      </c>
      <c r="F3" s="13">
        <v>79231499</v>
      </c>
      <c r="G3" s="14">
        <v>0</v>
      </c>
      <c r="H3" s="9" t="s">
        <v>1294</v>
      </c>
      <c r="I3" s="15">
        <v>900916649</v>
      </c>
      <c r="J3" s="16" t="s">
        <v>1918</v>
      </c>
      <c r="K3" s="17">
        <v>100</v>
      </c>
      <c r="L3" s="18" t="s">
        <v>24</v>
      </c>
      <c r="M3" s="19">
        <v>11250</v>
      </c>
      <c r="N3" s="19">
        <f t="shared" ref="N3" si="1">M3*0.19</f>
        <v>2137.5</v>
      </c>
      <c r="O3" s="19">
        <f t="shared" si="0"/>
        <v>1338750</v>
      </c>
      <c r="P3" s="17" t="s">
        <v>25</v>
      </c>
    </row>
  </sheetData>
  <dataValidations count="2">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3">
      <formula1>-9223372036854770000</formula1>
      <formula2>9223372036854770000</formula2>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1" workbookViewId="0">
      <selection sqref="A1:P4"/>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809</v>
      </c>
      <c r="B2" s="10" t="s">
        <v>827</v>
      </c>
      <c r="C2" s="11" t="s">
        <v>828</v>
      </c>
      <c r="D2" s="12">
        <v>43994</v>
      </c>
      <c r="E2" s="12">
        <v>43998</v>
      </c>
      <c r="F2" s="13">
        <v>24617210</v>
      </c>
      <c r="G2" s="14">
        <v>0</v>
      </c>
      <c r="H2" s="9" t="s">
        <v>829</v>
      </c>
      <c r="I2" s="15">
        <v>811036638</v>
      </c>
      <c r="J2" s="16" t="s">
        <v>841</v>
      </c>
      <c r="K2" s="17">
        <v>3</v>
      </c>
      <c r="L2" s="18" t="s">
        <v>716</v>
      </c>
      <c r="M2" s="19">
        <v>245000</v>
      </c>
      <c r="N2" s="19">
        <f t="shared" ref="N2:N4" si="0">M2*0.19</f>
        <v>46550</v>
      </c>
      <c r="O2" s="19">
        <f t="shared" ref="O2:O4" si="1">K2*(M2+N2)</f>
        <v>874650</v>
      </c>
      <c r="P2" s="17" t="s">
        <v>396</v>
      </c>
    </row>
    <row r="3" spans="1:16" x14ac:dyDescent="0.3">
      <c r="A3" s="9" t="s">
        <v>809</v>
      </c>
      <c r="B3" s="10" t="s">
        <v>827</v>
      </c>
      <c r="C3" s="11" t="s">
        <v>828</v>
      </c>
      <c r="D3" s="12">
        <v>43994</v>
      </c>
      <c r="E3" s="12">
        <v>43998</v>
      </c>
      <c r="F3" s="13">
        <v>24617210</v>
      </c>
      <c r="G3" s="14">
        <v>0</v>
      </c>
      <c r="H3" s="9" t="s">
        <v>829</v>
      </c>
      <c r="I3" s="15">
        <v>811036638</v>
      </c>
      <c r="J3" s="16" t="s">
        <v>842</v>
      </c>
      <c r="K3" s="17">
        <v>7</v>
      </c>
      <c r="L3" s="18" t="s">
        <v>716</v>
      </c>
      <c r="M3" s="19">
        <v>220000</v>
      </c>
      <c r="N3" s="19">
        <f t="shared" si="0"/>
        <v>41800</v>
      </c>
      <c r="O3" s="19">
        <f t="shared" si="1"/>
        <v>1832600</v>
      </c>
      <c r="P3" s="17" t="s">
        <v>396</v>
      </c>
    </row>
    <row r="4" spans="1:16" x14ac:dyDescent="0.3">
      <c r="A4" s="9" t="s">
        <v>809</v>
      </c>
      <c r="B4" s="10" t="s">
        <v>827</v>
      </c>
      <c r="C4" s="11" t="s">
        <v>828</v>
      </c>
      <c r="D4" s="12">
        <v>43994</v>
      </c>
      <c r="E4" s="12">
        <v>43998</v>
      </c>
      <c r="F4" s="13">
        <v>24617210</v>
      </c>
      <c r="G4" s="14">
        <v>0</v>
      </c>
      <c r="H4" s="9" t="s">
        <v>829</v>
      </c>
      <c r="I4" s="15">
        <v>811036638</v>
      </c>
      <c r="J4" s="16" t="s">
        <v>843</v>
      </c>
      <c r="K4" s="17">
        <v>1</v>
      </c>
      <c r="L4" s="18" t="s">
        <v>716</v>
      </c>
      <c r="M4" s="19">
        <v>332000</v>
      </c>
      <c r="N4" s="19">
        <f t="shared" si="0"/>
        <v>63080</v>
      </c>
      <c r="O4" s="19">
        <f t="shared" si="1"/>
        <v>395080</v>
      </c>
      <c r="P4" s="17" t="s">
        <v>396</v>
      </c>
    </row>
  </sheetData>
  <dataValidations count="4">
    <dataValidation type="date" allowBlank="1" showInputMessage="1" errorTitle="Entrada no válida" error="Por favor escriba una fecha válida (AAAA/MM/DD)" promptTitle="Ingrese una fecha (AAAA/MM/DD)" prompt=" Registre la fecha en la cual se SUSCRIBIÓ la orden (Formato AAAA/MM/DD)." sqref="D2:E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H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4">
      <formula1>0</formula1>
      <formula2>390</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sqref="A1:P2"/>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1091</v>
      </c>
      <c r="B2" s="10" t="s">
        <v>2051</v>
      </c>
      <c r="C2" s="11" t="s">
        <v>1136</v>
      </c>
      <c r="D2" s="12">
        <v>43990</v>
      </c>
      <c r="E2" s="12">
        <v>43992</v>
      </c>
      <c r="F2" s="13">
        <v>57691400</v>
      </c>
      <c r="G2" s="14">
        <v>0</v>
      </c>
      <c r="H2" s="9" t="s">
        <v>1137</v>
      </c>
      <c r="I2" s="15">
        <v>830014921</v>
      </c>
      <c r="J2" s="16" t="s">
        <v>1141</v>
      </c>
      <c r="K2" s="17">
        <v>10</v>
      </c>
      <c r="L2" s="18" t="s">
        <v>21</v>
      </c>
      <c r="M2" s="19">
        <v>1628000</v>
      </c>
      <c r="N2" s="19">
        <v>0</v>
      </c>
      <c r="O2" s="19">
        <f t="shared" ref="O2" si="0">K2*(M2+N2)</f>
        <v>16280000</v>
      </c>
      <c r="P2" s="17" t="s">
        <v>1142</v>
      </c>
    </row>
  </sheetData>
  <dataValidations count="1">
    <dataValidation type="date" allowBlank="1" showInputMessage="1" errorTitle="Entrada no válida" error="Por favor escriba una fecha válida (AAAA/MM/DD)" promptTitle="Ingrese una fecha (AAAA/MM/DD)" prompt=" Registre la fecha en la cual se SUSCRIBIÓ la orden (Formato AAAA/MM/DD)." sqref="D2:E2">
      <formula1>1900/1/1</formula1>
      <formula2>3000/1/1</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topLeftCell="H1" workbookViewId="0">
      <selection activeCell="H1" sqref="H1:W46"/>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5.88671875" customWidth="1"/>
    <col min="9" max="9" width="28.88671875" customWidth="1"/>
    <col min="10" max="10" width="29.5546875" customWidth="1"/>
    <col min="11" max="11" width="20.109375" customWidth="1"/>
    <col min="12" max="12" width="18.109375" customWidth="1"/>
    <col min="13" max="13" width="20.6640625" customWidth="1"/>
    <col min="14" max="14" width="18.33203125" customWidth="1"/>
    <col min="15" max="15" width="17.109375" customWidth="1"/>
    <col min="16" max="16" width="19.33203125" customWidth="1"/>
    <col min="17" max="17" width="38.109375" customWidth="1"/>
    <col min="18" max="18" width="14.77734375" bestFit="1" customWidth="1"/>
    <col min="19" max="19" width="27.6640625" bestFit="1" customWidth="1"/>
    <col min="20" max="20" width="20.6640625" bestFit="1" customWidth="1"/>
    <col min="21" max="21" width="11.88671875" bestFit="1" customWidth="1"/>
    <col min="22" max="22" width="17.5546875" bestFit="1" customWidth="1"/>
    <col min="23" max="23" width="43.33203125" bestFit="1" customWidth="1"/>
  </cols>
  <sheetData>
    <row r="1" spans="1:23" ht="43.2" x14ac:dyDescent="0.3">
      <c r="A1" s="1" t="s">
        <v>0</v>
      </c>
      <c r="B1" s="1" t="s">
        <v>1</v>
      </c>
      <c r="C1" s="1" t="s">
        <v>2</v>
      </c>
      <c r="D1" s="2" t="s">
        <v>3</v>
      </c>
      <c r="E1" s="2" t="s">
        <v>4</v>
      </c>
      <c r="F1" s="3" t="s">
        <v>5</v>
      </c>
      <c r="G1" s="3" t="s">
        <v>6</v>
      </c>
      <c r="H1" s="1" t="s">
        <v>0</v>
      </c>
      <c r="I1" s="1" t="s">
        <v>1</v>
      </c>
      <c r="J1" s="1" t="s">
        <v>2</v>
      </c>
      <c r="K1" s="2" t="s">
        <v>3</v>
      </c>
      <c r="L1" s="2" t="s">
        <v>4</v>
      </c>
      <c r="M1" s="3" t="s">
        <v>5</v>
      </c>
      <c r="N1" s="3" t="s">
        <v>6</v>
      </c>
      <c r="O1" s="4" t="s">
        <v>7</v>
      </c>
      <c r="P1" s="5" t="s">
        <v>8</v>
      </c>
      <c r="Q1" s="4" t="s">
        <v>9</v>
      </c>
      <c r="R1" s="45" t="s">
        <v>10</v>
      </c>
      <c r="S1" s="7" t="s">
        <v>11</v>
      </c>
      <c r="T1" s="8" t="s">
        <v>12</v>
      </c>
      <c r="U1" s="8" t="s">
        <v>13</v>
      </c>
      <c r="V1" s="8" t="s">
        <v>14</v>
      </c>
      <c r="W1" s="8" t="s">
        <v>15</v>
      </c>
    </row>
    <row r="2" spans="1:23" x14ac:dyDescent="0.3">
      <c r="A2" s="9" t="s">
        <v>16</v>
      </c>
      <c r="B2" s="10" t="s">
        <v>32</v>
      </c>
      <c r="C2" s="11" t="s">
        <v>33</v>
      </c>
      <c r="D2" s="12">
        <v>43923</v>
      </c>
      <c r="E2" s="12">
        <v>43928</v>
      </c>
      <c r="F2" s="13">
        <v>11804524</v>
      </c>
      <c r="G2" s="14">
        <v>0</v>
      </c>
      <c r="H2" s="9" t="s">
        <v>16</v>
      </c>
      <c r="I2" s="10" t="s">
        <v>1983</v>
      </c>
      <c r="J2" s="11" t="s">
        <v>33</v>
      </c>
      <c r="K2" s="12">
        <v>43923</v>
      </c>
      <c r="L2" s="12">
        <v>43928</v>
      </c>
      <c r="M2" s="13">
        <v>11804524</v>
      </c>
      <c r="N2" s="14">
        <v>0</v>
      </c>
      <c r="O2" s="9" t="s">
        <v>34</v>
      </c>
      <c r="P2" s="15">
        <v>900742771</v>
      </c>
      <c r="Q2" s="16" t="s">
        <v>38</v>
      </c>
      <c r="R2" s="46">
        <v>108</v>
      </c>
      <c r="S2" s="18" t="s">
        <v>36</v>
      </c>
      <c r="T2" s="19">
        <v>8846</v>
      </c>
      <c r="U2" s="19">
        <f t="shared" ref="U2:U3" si="0">T2*0.19</f>
        <v>1680.74</v>
      </c>
      <c r="V2" s="19">
        <f t="shared" ref="V2:V46" si="1">R2*(T2+U2)</f>
        <v>1136887.92</v>
      </c>
      <c r="W2" s="17" t="s">
        <v>39</v>
      </c>
    </row>
    <row r="3" spans="1:23" x14ac:dyDescent="0.3">
      <c r="A3" s="9" t="s">
        <v>138</v>
      </c>
      <c r="B3" s="10" t="s">
        <v>139</v>
      </c>
      <c r="C3" s="28" t="s">
        <v>140</v>
      </c>
      <c r="D3" s="12">
        <v>43908</v>
      </c>
      <c r="E3" s="12">
        <v>43908</v>
      </c>
      <c r="F3" s="13">
        <v>7176804</v>
      </c>
      <c r="G3" s="14">
        <v>0</v>
      </c>
      <c r="H3" s="9" t="s">
        <v>138</v>
      </c>
      <c r="I3" s="10" t="s">
        <v>139</v>
      </c>
      <c r="J3" s="28" t="s">
        <v>140</v>
      </c>
      <c r="K3" s="12">
        <v>43908</v>
      </c>
      <c r="L3" s="12">
        <v>43908</v>
      </c>
      <c r="M3" s="13">
        <v>7176804</v>
      </c>
      <c r="N3" s="14">
        <v>0</v>
      </c>
      <c r="O3" s="9" t="s">
        <v>141</v>
      </c>
      <c r="P3" s="15">
        <v>800031358</v>
      </c>
      <c r="Q3" s="16" t="s">
        <v>147</v>
      </c>
      <c r="R3" s="46">
        <v>64.599999999999994</v>
      </c>
      <c r="S3" s="29" t="s">
        <v>36</v>
      </c>
      <c r="T3" s="19">
        <v>6557.105263157895</v>
      </c>
      <c r="U3" s="19">
        <f t="shared" si="0"/>
        <v>1245.8500000000001</v>
      </c>
      <c r="V3" s="19">
        <f t="shared" si="1"/>
        <v>504070.91</v>
      </c>
      <c r="W3" s="21" t="s">
        <v>39</v>
      </c>
    </row>
    <row r="4" spans="1:23" x14ac:dyDescent="0.3">
      <c r="A4" s="9" t="s">
        <v>138</v>
      </c>
      <c r="B4" s="10" t="s">
        <v>166</v>
      </c>
      <c r="C4" s="28" t="s">
        <v>167</v>
      </c>
      <c r="D4" s="12">
        <v>43969</v>
      </c>
      <c r="E4" s="12">
        <v>43969</v>
      </c>
      <c r="F4" s="13">
        <v>5600000</v>
      </c>
      <c r="G4" s="14">
        <v>0</v>
      </c>
      <c r="H4" s="9" t="s">
        <v>138</v>
      </c>
      <c r="I4" s="10" t="s">
        <v>166</v>
      </c>
      <c r="J4" s="28" t="s">
        <v>167</v>
      </c>
      <c r="K4" s="12">
        <v>43969</v>
      </c>
      <c r="L4" s="12">
        <v>43969</v>
      </c>
      <c r="M4" s="13">
        <v>5600000</v>
      </c>
      <c r="N4" s="14">
        <v>0</v>
      </c>
      <c r="O4" s="9" t="s">
        <v>168</v>
      </c>
      <c r="P4" s="15">
        <v>830037946</v>
      </c>
      <c r="Q4" s="16" t="s">
        <v>169</v>
      </c>
      <c r="R4" s="46">
        <v>500</v>
      </c>
      <c r="S4" s="29" t="s">
        <v>36</v>
      </c>
      <c r="T4" s="19">
        <v>11200</v>
      </c>
      <c r="U4" s="19">
        <v>0</v>
      </c>
      <c r="V4" s="19">
        <f t="shared" si="1"/>
        <v>5600000</v>
      </c>
      <c r="W4" s="21" t="s">
        <v>39</v>
      </c>
    </row>
    <row r="5" spans="1:23" x14ac:dyDescent="0.3">
      <c r="A5" s="9" t="s">
        <v>284</v>
      </c>
      <c r="B5" s="10" t="s">
        <v>298</v>
      </c>
      <c r="C5" s="11" t="s">
        <v>299</v>
      </c>
      <c r="D5" s="12">
        <v>43910</v>
      </c>
      <c r="E5" s="12">
        <v>43910</v>
      </c>
      <c r="F5" s="13">
        <v>33831700</v>
      </c>
      <c r="G5" s="14">
        <v>0</v>
      </c>
      <c r="H5" s="9" t="s">
        <v>284</v>
      </c>
      <c r="I5" s="10" t="s">
        <v>298</v>
      </c>
      <c r="J5" s="11" t="s">
        <v>299</v>
      </c>
      <c r="K5" s="12">
        <v>43910</v>
      </c>
      <c r="L5" s="12">
        <v>43910</v>
      </c>
      <c r="M5" s="13">
        <v>33831700</v>
      </c>
      <c r="N5" s="14">
        <v>0</v>
      </c>
      <c r="O5" s="9" t="s">
        <v>300</v>
      </c>
      <c r="P5" s="15">
        <v>830037946</v>
      </c>
      <c r="Q5" s="16" t="s">
        <v>301</v>
      </c>
      <c r="R5" s="46">
        <v>5700</v>
      </c>
      <c r="S5" s="18" t="s">
        <v>36</v>
      </c>
      <c r="T5" s="19">
        <v>5261.0526315789475</v>
      </c>
      <c r="U5" s="19">
        <v>0</v>
      </c>
      <c r="V5" s="19">
        <f t="shared" si="1"/>
        <v>29988000</v>
      </c>
      <c r="W5" s="17" t="s">
        <v>39</v>
      </c>
    </row>
    <row r="6" spans="1:23" x14ac:dyDescent="0.3">
      <c r="A6" s="9" t="s">
        <v>284</v>
      </c>
      <c r="B6" s="10" t="s">
        <v>298</v>
      </c>
      <c r="C6" s="11" t="s">
        <v>299</v>
      </c>
      <c r="D6" s="12">
        <v>43910</v>
      </c>
      <c r="E6" s="12">
        <v>43910</v>
      </c>
      <c r="F6" s="13">
        <v>33831700</v>
      </c>
      <c r="G6" s="14">
        <v>0</v>
      </c>
      <c r="H6" s="9" t="s">
        <v>284</v>
      </c>
      <c r="I6" s="10" t="s">
        <v>298</v>
      </c>
      <c r="J6" s="11" t="s">
        <v>299</v>
      </c>
      <c r="K6" s="12">
        <v>43910</v>
      </c>
      <c r="L6" s="12">
        <v>43910</v>
      </c>
      <c r="M6" s="13">
        <v>33831700</v>
      </c>
      <c r="N6" s="14">
        <v>0</v>
      </c>
      <c r="O6" s="9" t="s">
        <v>300</v>
      </c>
      <c r="P6" s="15">
        <v>830037946</v>
      </c>
      <c r="Q6" s="16" t="s">
        <v>303</v>
      </c>
      <c r="R6" s="46">
        <v>50</v>
      </c>
      <c r="S6" s="18" t="s">
        <v>36</v>
      </c>
      <c r="T6" s="19">
        <v>10234</v>
      </c>
      <c r="U6" s="19">
        <v>0</v>
      </c>
      <c r="V6" s="19">
        <f t="shared" si="1"/>
        <v>511700</v>
      </c>
      <c r="W6" s="17" t="s">
        <v>39</v>
      </c>
    </row>
    <row r="7" spans="1:23" x14ac:dyDescent="0.3">
      <c r="A7" s="9" t="s">
        <v>402</v>
      </c>
      <c r="B7" s="10" t="s">
        <v>403</v>
      </c>
      <c r="C7" s="11" t="s">
        <v>404</v>
      </c>
      <c r="D7" s="12">
        <v>43900</v>
      </c>
      <c r="E7" s="12">
        <v>43900</v>
      </c>
      <c r="F7" s="13">
        <v>48156480</v>
      </c>
      <c r="G7" s="14">
        <v>0</v>
      </c>
      <c r="H7" s="9" t="s">
        <v>402</v>
      </c>
      <c r="I7" s="10" t="s">
        <v>403</v>
      </c>
      <c r="J7" s="11" t="s">
        <v>404</v>
      </c>
      <c r="K7" s="12">
        <v>43900</v>
      </c>
      <c r="L7" s="12">
        <v>43900</v>
      </c>
      <c r="M7" s="13">
        <v>48156480</v>
      </c>
      <c r="N7" s="14">
        <v>0</v>
      </c>
      <c r="O7" s="9" t="s">
        <v>405</v>
      </c>
      <c r="P7" s="15">
        <v>830037946</v>
      </c>
      <c r="Q7" s="16" t="s">
        <v>407</v>
      </c>
      <c r="R7" s="46">
        <v>1944</v>
      </c>
      <c r="S7" s="18" t="s">
        <v>36</v>
      </c>
      <c r="T7" s="19">
        <v>2789.9159663865548</v>
      </c>
      <c r="U7" s="19">
        <f t="shared" ref="U7" si="2">T7*0.19</f>
        <v>530.0840336134454</v>
      </c>
      <c r="V7" s="19">
        <f t="shared" si="1"/>
        <v>6454080</v>
      </c>
      <c r="W7" s="17" t="s">
        <v>39</v>
      </c>
    </row>
    <row r="8" spans="1:23" x14ac:dyDescent="0.3">
      <c r="A8" s="9" t="s">
        <v>402</v>
      </c>
      <c r="B8" s="10" t="s">
        <v>427</v>
      </c>
      <c r="C8" s="11" t="s">
        <v>428</v>
      </c>
      <c r="D8" s="12">
        <v>43969</v>
      </c>
      <c r="E8" s="12">
        <v>43969</v>
      </c>
      <c r="F8" s="13">
        <v>15800400</v>
      </c>
      <c r="G8" s="14">
        <v>0</v>
      </c>
      <c r="H8" s="9" t="s">
        <v>402</v>
      </c>
      <c r="I8" s="10" t="s">
        <v>427</v>
      </c>
      <c r="J8" s="11" t="s">
        <v>428</v>
      </c>
      <c r="K8" s="12">
        <v>43969</v>
      </c>
      <c r="L8" s="12">
        <v>43969</v>
      </c>
      <c r="M8" s="13">
        <v>15800400</v>
      </c>
      <c r="N8" s="14">
        <v>0</v>
      </c>
      <c r="O8" s="9" t="s">
        <v>382</v>
      </c>
      <c r="P8" s="15">
        <v>900567130</v>
      </c>
      <c r="Q8" s="16" t="s">
        <v>429</v>
      </c>
      <c r="R8" s="46">
        <v>3032.00216</v>
      </c>
      <c r="S8" s="18" t="s">
        <v>36</v>
      </c>
      <c r="T8" s="19">
        <v>5211.21</v>
      </c>
      <c r="U8" s="19">
        <v>0</v>
      </c>
      <c r="V8" s="19">
        <f t="shared" si="1"/>
        <v>15800399.9762136</v>
      </c>
      <c r="W8" s="17" t="s">
        <v>39</v>
      </c>
    </row>
    <row r="9" spans="1:23" x14ac:dyDescent="0.3">
      <c r="A9" s="9" t="s">
        <v>402</v>
      </c>
      <c r="B9" t="s">
        <v>469</v>
      </c>
      <c r="C9" t="s">
        <v>470</v>
      </c>
      <c r="D9" s="12">
        <v>44175</v>
      </c>
      <c r="E9" s="12">
        <v>44186</v>
      </c>
      <c r="F9" s="13">
        <v>44652978</v>
      </c>
      <c r="G9" s="30"/>
      <c r="H9" s="9" t="s">
        <v>402</v>
      </c>
      <c r="I9" t="s">
        <v>469</v>
      </c>
      <c r="J9" t="s">
        <v>470</v>
      </c>
      <c r="K9" s="12">
        <v>44175</v>
      </c>
      <c r="L9" s="12">
        <v>44186</v>
      </c>
      <c r="M9" s="13">
        <v>44652978</v>
      </c>
      <c r="N9" s="14">
        <v>0</v>
      </c>
      <c r="O9" s="9" t="s">
        <v>459</v>
      </c>
      <c r="P9" s="15">
        <v>830501019</v>
      </c>
      <c r="Q9" s="16" t="s">
        <v>429</v>
      </c>
      <c r="R9" s="46">
        <v>9500</v>
      </c>
      <c r="S9" s="18" t="s">
        <v>36</v>
      </c>
      <c r="T9" s="19">
        <v>2042.1052631499999</v>
      </c>
      <c r="U9" s="19">
        <v>0</v>
      </c>
      <c r="V9" s="19">
        <f t="shared" si="1"/>
        <v>19399999.999924999</v>
      </c>
      <c r="W9" s="17" t="s">
        <v>39</v>
      </c>
    </row>
    <row r="10" spans="1:23" x14ac:dyDescent="0.3">
      <c r="A10" s="9" t="s">
        <v>472</v>
      </c>
      <c r="B10" s="10" t="s">
        <v>506</v>
      </c>
      <c r="C10" s="11" t="s">
        <v>507</v>
      </c>
      <c r="D10" s="12">
        <v>43956</v>
      </c>
      <c r="E10" s="12">
        <v>43956</v>
      </c>
      <c r="F10" s="13">
        <v>3532000</v>
      </c>
      <c r="G10" s="14">
        <v>0</v>
      </c>
      <c r="H10" s="9" t="s">
        <v>472</v>
      </c>
      <c r="I10" s="10" t="s">
        <v>506</v>
      </c>
      <c r="J10" s="11" t="s">
        <v>507</v>
      </c>
      <c r="K10" s="12">
        <v>43956</v>
      </c>
      <c r="L10" s="12">
        <v>43956</v>
      </c>
      <c r="M10" s="13">
        <v>3532000</v>
      </c>
      <c r="N10" s="14">
        <v>0</v>
      </c>
      <c r="O10" s="9" t="s">
        <v>508</v>
      </c>
      <c r="P10" s="15">
        <v>900791672</v>
      </c>
      <c r="Q10" s="16" t="s">
        <v>509</v>
      </c>
      <c r="R10" s="46">
        <v>484.5</v>
      </c>
      <c r="S10" s="18" t="s">
        <v>36</v>
      </c>
      <c r="T10" s="19">
        <v>5680</v>
      </c>
      <c r="U10" s="19">
        <v>0</v>
      </c>
      <c r="V10" s="19">
        <f t="shared" si="1"/>
        <v>2751960</v>
      </c>
      <c r="W10" s="17" t="s">
        <v>39</v>
      </c>
    </row>
    <row r="11" spans="1:23" x14ac:dyDescent="0.3">
      <c r="A11" s="9" t="s">
        <v>657</v>
      </c>
      <c r="B11" s="10" t="s">
        <v>662</v>
      </c>
      <c r="C11" s="11" t="s">
        <v>663</v>
      </c>
      <c r="D11" s="12">
        <v>43963</v>
      </c>
      <c r="E11" s="12">
        <v>43963</v>
      </c>
      <c r="F11" s="13">
        <v>166018725</v>
      </c>
      <c r="G11" s="14">
        <v>0</v>
      </c>
      <c r="H11" s="9" t="s">
        <v>558</v>
      </c>
      <c r="I11" s="10" t="s">
        <v>2018</v>
      </c>
      <c r="J11" s="28" t="s">
        <v>630</v>
      </c>
      <c r="K11" s="12">
        <v>44077</v>
      </c>
      <c r="L11" s="12">
        <v>44077</v>
      </c>
      <c r="M11" s="13">
        <v>14787292</v>
      </c>
      <c r="N11" s="14">
        <v>0</v>
      </c>
      <c r="O11" s="9" t="s">
        <v>654</v>
      </c>
      <c r="P11" s="15">
        <v>8300013381</v>
      </c>
      <c r="Q11" s="16" t="s">
        <v>1963</v>
      </c>
      <c r="R11" s="17">
        <f>353*3.75</f>
        <v>1323.75</v>
      </c>
      <c r="S11" s="18" t="s">
        <v>36</v>
      </c>
      <c r="T11" s="19">
        <f>6932/3.75</f>
        <v>1848.5333333333333</v>
      </c>
      <c r="U11" s="19">
        <f t="shared" ref="U11" si="3">T11*0.19</f>
        <v>351.22133333333335</v>
      </c>
      <c r="V11" s="19">
        <f t="shared" si="1"/>
        <v>2911925.24</v>
      </c>
      <c r="W11" s="17" t="s">
        <v>39</v>
      </c>
    </row>
    <row r="12" spans="1:23" x14ac:dyDescent="0.3">
      <c r="A12" s="9" t="s">
        <v>657</v>
      </c>
      <c r="B12" s="10" t="s">
        <v>670</v>
      </c>
      <c r="C12" s="11" t="s">
        <v>671</v>
      </c>
      <c r="D12" s="12">
        <v>44015</v>
      </c>
      <c r="E12" s="12">
        <v>44018</v>
      </c>
      <c r="F12" s="13">
        <v>201000100</v>
      </c>
      <c r="G12" s="14">
        <v>0</v>
      </c>
      <c r="H12" s="9" t="s">
        <v>657</v>
      </c>
      <c r="I12" s="10" t="s">
        <v>662</v>
      </c>
      <c r="J12" s="11" t="s">
        <v>663</v>
      </c>
      <c r="K12" s="12">
        <v>43963</v>
      </c>
      <c r="L12" s="12">
        <v>43963</v>
      </c>
      <c r="M12" s="13">
        <v>166018725</v>
      </c>
      <c r="N12" s="14">
        <v>0</v>
      </c>
      <c r="O12" s="9" t="s">
        <v>660</v>
      </c>
      <c r="P12" s="15">
        <v>813005241</v>
      </c>
      <c r="Q12" s="16" t="s">
        <v>667</v>
      </c>
      <c r="R12" s="46">
        <v>2400</v>
      </c>
      <c r="S12" s="18" t="s">
        <v>36</v>
      </c>
      <c r="T12" s="19">
        <v>7500</v>
      </c>
      <c r="U12" s="19">
        <v>0</v>
      </c>
      <c r="V12" s="19">
        <f t="shared" si="1"/>
        <v>18000000</v>
      </c>
      <c r="W12" s="17" t="s">
        <v>39</v>
      </c>
    </row>
    <row r="13" spans="1:23" x14ac:dyDescent="0.3">
      <c r="A13" s="9" t="s">
        <v>682</v>
      </c>
      <c r="B13" s="10" t="s">
        <v>685</v>
      </c>
      <c r="C13" s="11" t="s">
        <v>1797</v>
      </c>
      <c r="D13" s="12">
        <v>44159</v>
      </c>
      <c r="E13" s="12">
        <v>44159</v>
      </c>
      <c r="F13" s="13">
        <v>38115250</v>
      </c>
      <c r="G13" s="14">
        <v>0</v>
      </c>
      <c r="H13" s="9" t="s">
        <v>657</v>
      </c>
      <c r="I13" s="10" t="s">
        <v>670</v>
      </c>
      <c r="J13" s="11" t="s">
        <v>671</v>
      </c>
      <c r="K13" s="12">
        <v>44015</v>
      </c>
      <c r="L13" s="12">
        <v>44018</v>
      </c>
      <c r="M13" s="13">
        <v>201000100</v>
      </c>
      <c r="N13" s="14">
        <v>0</v>
      </c>
      <c r="O13" s="9" t="s">
        <v>660</v>
      </c>
      <c r="P13" s="15">
        <v>813005241</v>
      </c>
      <c r="Q13" s="16" t="s">
        <v>667</v>
      </c>
      <c r="R13" s="46">
        <v>2400</v>
      </c>
      <c r="S13" s="18" t="s">
        <v>36</v>
      </c>
      <c r="T13" s="19">
        <v>6000</v>
      </c>
      <c r="U13" s="19">
        <v>0</v>
      </c>
      <c r="V13" s="19">
        <f t="shared" si="1"/>
        <v>14400000</v>
      </c>
      <c r="W13" s="17" t="s">
        <v>39</v>
      </c>
    </row>
    <row r="14" spans="1:23" x14ac:dyDescent="0.3">
      <c r="A14" s="9" t="s">
        <v>690</v>
      </c>
      <c r="B14" s="10" t="s">
        <v>750</v>
      </c>
      <c r="C14" s="11" t="s">
        <v>751</v>
      </c>
      <c r="D14" s="12">
        <v>43987</v>
      </c>
      <c r="E14" s="12">
        <v>43987</v>
      </c>
      <c r="F14" s="13">
        <v>4010600</v>
      </c>
      <c r="G14" s="14">
        <v>0</v>
      </c>
      <c r="H14" s="9" t="s">
        <v>657</v>
      </c>
      <c r="I14" s="10" t="s">
        <v>2031</v>
      </c>
      <c r="J14" s="11" t="s">
        <v>1797</v>
      </c>
      <c r="K14" s="12">
        <v>44159</v>
      </c>
      <c r="L14" s="12">
        <v>44159</v>
      </c>
      <c r="M14" s="13">
        <v>38115250</v>
      </c>
      <c r="N14" s="14">
        <v>0</v>
      </c>
      <c r="O14" s="9" t="s">
        <v>158</v>
      </c>
      <c r="P14" s="15">
        <v>830001338</v>
      </c>
      <c r="Q14" s="16" t="s">
        <v>667</v>
      </c>
      <c r="R14" s="46">
        <f>810*3.75</f>
        <v>3037.5</v>
      </c>
      <c r="S14" s="18" t="s">
        <v>36</v>
      </c>
      <c r="T14" s="19">
        <f>5791/3.75</f>
        <v>1544.2666666666667</v>
      </c>
      <c r="U14" s="19">
        <v>0</v>
      </c>
      <c r="V14" s="19">
        <f t="shared" si="1"/>
        <v>4690710</v>
      </c>
      <c r="W14" s="17" t="s">
        <v>39</v>
      </c>
    </row>
    <row r="15" spans="1:23" x14ac:dyDescent="0.3">
      <c r="A15" s="9" t="s">
        <v>690</v>
      </c>
      <c r="B15" s="10" t="s">
        <v>754</v>
      </c>
      <c r="C15" s="11" t="s">
        <v>755</v>
      </c>
      <c r="D15" s="12">
        <v>43987</v>
      </c>
      <c r="E15" s="12">
        <v>43987</v>
      </c>
      <c r="F15" s="13">
        <v>4040000</v>
      </c>
      <c r="G15" s="14">
        <v>0</v>
      </c>
      <c r="H15" s="9" t="s">
        <v>690</v>
      </c>
      <c r="I15" s="10" t="s">
        <v>2040</v>
      </c>
      <c r="J15" s="11" t="s">
        <v>751</v>
      </c>
      <c r="K15" s="12">
        <v>43987</v>
      </c>
      <c r="L15" s="12">
        <v>43987</v>
      </c>
      <c r="M15" s="13">
        <v>4010600</v>
      </c>
      <c r="N15" s="14">
        <v>0</v>
      </c>
      <c r="O15" s="9" t="s">
        <v>752</v>
      </c>
      <c r="P15" s="15">
        <v>900567130</v>
      </c>
      <c r="Q15" s="16" t="s">
        <v>753</v>
      </c>
      <c r="R15" s="46">
        <v>757</v>
      </c>
      <c r="S15" s="18" t="s">
        <v>36</v>
      </c>
      <c r="T15" s="19">
        <v>4333.6856010568035</v>
      </c>
      <c r="U15" s="19">
        <v>0</v>
      </c>
      <c r="V15" s="19">
        <f t="shared" si="1"/>
        <v>3280600.0000000005</v>
      </c>
      <c r="W15" s="17" t="s">
        <v>39</v>
      </c>
    </row>
    <row r="16" spans="1:23" x14ac:dyDescent="0.3">
      <c r="A16" s="33" t="s">
        <v>690</v>
      </c>
      <c r="B16" s="33" t="s">
        <v>793</v>
      </c>
      <c r="C16" s="33" t="s">
        <v>1804</v>
      </c>
      <c r="D16" s="34">
        <v>44147</v>
      </c>
      <c r="E16" s="34">
        <v>44147</v>
      </c>
      <c r="F16" s="35">
        <v>4459400</v>
      </c>
      <c r="G16" s="35"/>
      <c r="H16" s="9" t="s">
        <v>690</v>
      </c>
      <c r="I16" s="10" t="s">
        <v>2041</v>
      </c>
      <c r="J16" s="11" t="s">
        <v>755</v>
      </c>
      <c r="K16" s="12">
        <v>43987</v>
      </c>
      <c r="L16" s="12">
        <v>43987</v>
      </c>
      <c r="M16" s="13">
        <v>4040000</v>
      </c>
      <c r="N16" s="14">
        <v>0</v>
      </c>
      <c r="O16" s="9" t="s">
        <v>756</v>
      </c>
      <c r="P16" s="15">
        <v>900350133</v>
      </c>
      <c r="Q16" s="16" t="s">
        <v>753</v>
      </c>
      <c r="R16" s="46">
        <v>150</v>
      </c>
      <c r="S16" s="18" t="s">
        <v>36</v>
      </c>
      <c r="T16" s="19">
        <v>24800</v>
      </c>
      <c r="U16" s="19">
        <v>0</v>
      </c>
      <c r="V16" s="19">
        <f t="shared" si="1"/>
        <v>3720000</v>
      </c>
      <c r="W16" s="17" t="s">
        <v>39</v>
      </c>
    </row>
    <row r="17" spans="1:23" x14ac:dyDescent="0.3">
      <c r="A17" s="9" t="s">
        <v>861</v>
      </c>
      <c r="B17" s="10" t="s">
        <v>862</v>
      </c>
      <c r="C17" s="11" t="s">
        <v>863</v>
      </c>
      <c r="D17" s="12" t="s">
        <v>864</v>
      </c>
      <c r="E17" s="12" t="s">
        <v>864</v>
      </c>
      <c r="F17" s="13">
        <v>21078782</v>
      </c>
      <c r="G17" s="14">
        <v>0</v>
      </c>
      <c r="H17" s="33" t="s">
        <v>690</v>
      </c>
      <c r="I17" s="33" t="s">
        <v>793</v>
      </c>
      <c r="J17" s="33" t="s">
        <v>1804</v>
      </c>
      <c r="K17" s="34">
        <v>44147</v>
      </c>
      <c r="L17" s="34">
        <v>44147</v>
      </c>
      <c r="M17" s="35">
        <v>4459400</v>
      </c>
      <c r="N17" s="14">
        <v>0</v>
      </c>
      <c r="O17" s="33" t="s">
        <v>271</v>
      </c>
      <c r="P17" s="36">
        <v>19254921</v>
      </c>
      <c r="Q17" s="33" t="s">
        <v>1868</v>
      </c>
      <c r="R17" s="46">
        <f>200*3.75</f>
        <v>750</v>
      </c>
      <c r="S17" s="18" t="s">
        <v>36</v>
      </c>
      <c r="T17" s="19">
        <f>5850/3.75</f>
        <v>1560</v>
      </c>
      <c r="U17" s="19">
        <v>0</v>
      </c>
      <c r="V17" s="19">
        <f t="shared" si="1"/>
        <v>1170000</v>
      </c>
      <c r="W17" s="17" t="s">
        <v>39</v>
      </c>
    </row>
    <row r="18" spans="1:23" x14ac:dyDescent="0.3">
      <c r="A18" s="9" t="s">
        <v>861</v>
      </c>
      <c r="B18" s="10" t="s">
        <v>862</v>
      </c>
      <c r="C18" s="11" t="s">
        <v>863</v>
      </c>
      <c r="D18" s="12" t="s">
        <v>864</v>
      </c>
      <c r="E18" s="12" t="s">
        <v>864</v>
      </c>
      <c r="F18" s="13">
        <v>21078782</v>
      </c>
      <c r="G18" s="14">
        <v>0</v>
      </c>
      <c r="H18" s="9" t="s">
        <v>861</v>
      </c>
      <c r="I18" s="10" t="s">
        <v>862</v>
      </c>
      <c r="J18" s="11" t="s">
        <v>863</v>
      </c>
      <c r="K18" s="12" t="s">
        <v>864</v>
      </c>
      <c r="L18" s="12" t="s">
        <v>864</v>
      </c>
      <c r="M18" s="13">
        <v>21078782</v>
      </c>
      <c r="N18" s="14">
        <v>0</v>
      </c>
      <c r="O18" s="9" t="s">
        <v>865</v>
      </c>
      <c r="P18" s="15">
        <v>900406714</v>
      </c>
      <c r="Q18" s="16" t="s">
        <v>867</v>
      </c>
      <c r="R18" s="46">
        <v>190</v>
      </c>
      <c r="S18" s="18" t="s">
        <v>36</v>
      </c>
      <c r="T18" s="19">
        <v>3557.2105263157896</v>
      </c>
      <c r="U18" s="19">
        <f t="shared" ref="U18:U19" si="4">T18*0.19</f>
        <v>675.87</v>
      </c>
      <c r="V18" s="19">
        <f t="shared" si="1"/>
        <v>804285.3</v>
      </c>
      <c r="W18" s="17" t="s">
        <v>39</v>
      </c>
    </row>
    <row r="19" spans="1:23" x14ac:dyDescent="0.3">
      <c r="A19" s="9" t="s">
        <v>944</v>
      </c>
      <c r="B19" s="10" t="s">
        <v>965</v>
      </c>
      <c r="C19" s="11" t="s">
        <v>966</v>
      </c>
      <c r="D19" s="12">
        <v>44098</v>
      </c>
      <c r="E19" s="12">
        <v>44099</v>
      </c>
      <c r="F19" s="13">
        <v>3130000</v>
      </c>
      <c r="G19" s="14">
        <v>0</v>
      </c>
      <c r="H19" s="9" t="s">
        <v>861</v>
      </c>
      <c r="I19" s="10" t="s">
        <v>862</v>
      </c>
      <c r="J19" s="11" t="s">
        <v>863</v>
      </c>
      <c r="K19" s="12" t="s">
        <v>864</v>
      </c>
      <c r="L19" s="12" t="s">
        <v>864</v>
      </c>
      <c r="M19" s="13">
        <v>21078782</v>
      </c>
      <c r="N19" s="14">
        <v>0</v>
      </c>
      <c r="O19" s="9" t="s">
        <v>865</v>
      </c>
      <c r="P19" s="15">
        <v>900406714</v>
      </c>
      <c r="Q19" s="16" t="s">
        <v>881</v>
      </c>
      <c r="R19" s="46">
        <v>126</v>
      </c>
      <c r="S19" s="18" t="s">
        <v>36</v>
      </c>
      <c r="T19" s="19">
        <v>25205</v>
      </c>
      <c r="U19" s="19">
        <f t="shared" si="4"/>
        <v>4788.95</v>
      </c>
      <c r="V19" s="19">
        <f t="shared" si="1"/>
        <v>3779237.7</v>
      </c>
      <c r="W19" s="17" t="s">
        <v>39</v>
      </c>
    </row>
    <row r="20" spans="1:23" x14ac:dyDescent="0.3">
      <c r="A20" s="9" t="s">
        <v>944</v>
      </c>
      <c r="B20" s="10" t="s">
        <v>983</v>
      </c>
      <c r="C20" s="11" t="s">
        <v>984</v>
      </c>
      <c r="D20" s="12">
        <v>44168</v>
      </c>
      <c r="E20" s="12">
        <v>44174</v>
      </c>
      <c r="F20" s="13">
        <v>5206249</v>
      </c>
      <c r="G20" s="14">
        <v>0</v>
      </c>
      <c r="H20" s="9" t="s">
        <v>861</v>
      </c>
      <c r="I20" s="10" t="s">
        <v>965</v>
      </c>
      <c r="J20" s="11" t="s">
        <v>966</v>
      </c>
      <c r="K20" s="12">
        <v>44098</v>
      </c>
      <c r="L20" s="12">
        <v>44099</v>
      </c>
      <c r="M20" s="13">
        <v>3130000</v>
      </c>
      <c r="N20" s="14">
        <v>0</v>
      </c>
      <c r="O20" s="9" t="s">
        <v>967</v>
      </c>
      <c r="P20" s="15" t="s">
        <v>968</v>
      </c>
      <c r="Q20" s="16" t="s">
        <v>969</v>
      </c>
      <c r="R20" s="46">
        <v>1000</v>
      </c>
      <c r="S20" s="18" t="s">
        <v>36</v>
      </c>
      <c r="T20" s="19">
        <v>2200</v>
      </c>
      <c r="U20" s="19">
        <v>0</v>
      </c>
      <c r="V20" s="19">
        <f t="shared" si="1"/>
        <v>2200000</v>
      </c>
      <c r="W20" s="17" t="s">
        <v>39</v>
      </c>
    </row>
    <row r="21" spans="1:23" x14ac:dyDescent="0.3">
      <c r="A21" s="9" t="s">
        <v>1006</v>
      </c>
      <c r="B21" s="10" t="s">
        <v>1016</v>
      </c>
      <c r="C21" s="11" t="s">
        <v>1008</v>
      </c>
      <c r="D21" s="12">
        <v>43920</v>
      </c>
      <c r="E21" s="12">
        <v>43922</v>
      </c>
      <c r="F21" s="13">
        <v>12050000</v>
      </c>
      <c r="G21" s="14">
        <v>0</v>
      </c>
      <c r="H21" s="9" t="s">
        <v>861</v>
      </c>
      <c r="I21" s="10" t="s">
        <v>983</v>
      </c>
      <c r="J21" s="11" t="s">
        <v>984</v>
      </c>
      <c r="K21" s="12">
        <v>44168</v>
      </c>
      <c r="L21" s="12">
        <v>44174</v>
      </c>
      <c r="M21" s="13">
        <v>5206249</v>
      </c>
      <c r="N21" s="14">
        <v>0</v>
      </c>
      <c r="O21" s="9" t="s">
        <v>985</v>
      </c>
      <c r="P21" s="15" t="s">
        <v>986</v>
      </c>
      <c r="Q21" s="16" t="s">
        <v>969</v>
      </c>
      <c r="R21" s="46">
        <v>1000</v>
      </c>
      <c r="S21" s="18" t="s">
        <v>36</v>
      </c>
      <c r="T21" s="19">
        <f>1895*2</f>
        <v>3790</v>
      </c>
      <c r="U21" s="19">
        <v>0</v>
      </c>
      <c r="V21" s="19">
        <f t="shared" si="1"/>
        <v>3790000</v>
      </c>
      <c r="W21" s="17" t="s">
        <v>39</v>
      </c>
    </row>
    <row r="22" spans="1:23" x14ac:dyDescent="0.3">
      <c r="A22" s="9" t="s">
        <v>1006</v>
      </c>
      <c r="B22" s="10" t="s">
        <v>1032</v>
      </c>
      <c r="C22" s="11" t="s">
        <v>1029</v>
      </c>
      <c r="D22" s="12">
        <v>43979</v>
      </c>
      <c r="E22" s="12">
        <v>43979</v>
      </c>
      <c r="F22" s="13">
        <v>27353976</v>
      </c>
      <c r="G22" s="14">
        <v>0</v>
      </c>
      <c r="H22" s="9" t="s">
        <v>1006</v>
      </c>
      <c r="I22" s="10" t="s">
        <v>1016</v>
      </c>
      <c r="J22" s="11" t="s">
        <v>1008</v>
      </c>
      <c r="K22" s="12">
        <v>43920</v>
      </c>
      <c r="L22" s="12">
        <v>43922</v>
      </c>
      <c r="M22" s="13">
        <v>12050000</v>
      </c>
      <c r="N22" s="14">
        <v>0</v>
      </c>
      <c r="O22" s="9" t="s">
        <v>1017</v>
      </c>
      <c r="P22" s="15">
        <v>901002888</v>
      </c>
      <c r="Q22" s="16" t="s">
        <v>1018</v>
      </c>
      <c r="R22" s="46">
        <v>700</v>
      </c>
      <c r="S22" s="18" t="s">
        <v>36</v>
      </c>
      <c r="T22" s="19">
        <v>9500</v>
      </c>
      <c r="U22" s="19">
        <v>0</v>
      </c>
      <c r="V22" s="19">
        <f t="shared" si="1"/>
        <v>6650000</v>
      </c>
      <c r="W22" s="17" t="s">
        <v>39</v>
      </c>
    </row>
    <row r="23" spans="1:23" x14ac:dyDescent="0.3">
      <c r="A23" s="9" t="s">
        <v>1050</v>
      </c>
      <c r="B23" s="10" t="s">
        <v>1061</v>
      </c>
      <c r="C23" s="11" t="s">
        <v>1062</v>
      </c>
      <c r="D23" s="12">
        <v>43944</v>
      </c>
      <c r="E23" s="12">
        <v>43944</v>
      </c>
      <c r="F23" s="13">
        <v>4605000</v>
      </c>
      <c r="G23" s="14">
        <v>0</v>
      </c>
      <c r="H23" s="9" t="s">
        <v>1006</v>
      </c>
      <c r="I23" s="10" t="s">
        <v>1032</v>
      </c>
      <c r="J23" s="11" t="s">
        <v>1029</v>
      </c>
      <c r="K23" s="12">
        <v>43979</v>
      </c>
      <c r="L23" s="12">
        <v>43979</v>
      </c>
      <c r="M23" s="13">
        <v>27353976</v>
      </c>
      <c r="N23" s="14">
        <v>0</v>
      </c>
      <c r="O23" s="9" t="s">
        <v>1025</v>
      </c>
      <c r="P23" s="15">
        <v>830094214</v>
      </c>
      <c r="Q23" s="16" t="s">
        <v>1900</v>
      </c>
      <c r="R23" s="46">
        <v>1218</v>
      </c>
      <c r="S23" s="18" t="s">
        <v>36</v>
      </c>
      <c r="T23" s="19">
        <v>8332</v>
      </c>
      <c r="U23" s="19">
        <v>0</v>
      </c>
      <c r="V23" s="19">
        <f t="shared" si="1"/>
        <v>10148376</v>
      </c>
      <c r="W23" s="17" t="s">
        <v>39</v>
      </c>
    </row>
    <row r="24" spans="1:23" x14ac:dyDescent="0.3">
      <c r="A24" s="9" t="s">
        <v>1091</v>
      </c>
      <c r="B24" s="10">
        <v>1491804</v>
      </c>
      <c r="C24" s="11" t="s">
        <v>1096</v>
      </c>
      <c r="D24" s="12">
        <v>43927</v>
      </c>
      <c r="E24" s="12">
        <v>43928</v>
      </c>
      <c r="F24" s="13">
        <v>82970740</v>
      </c>
      <c r="G24" s="14">
        <v>0</v>
      </c>
      <c r="H24" s="9" t="s">
        <v>1050</v>
      </c>
      <c r="I24" s="10" t="s">
        <v>1061</v>
      </c>
      <c r="J24" s="11" t="s">
        <v>1062</v>
      </c>
      <c r="K24" s="12">
        <v>43944</v>
      </c>
      <c r="L24" s="12">
        <v>43944</v>
      </c>
      <c r="M24" s="13">
        <v>4605000</v>
      </c>
      <c r="N24" s="14">
        <v>0</v>
      </c>
      <c r="O24" s="9" t="s">
        <v>1059</v>
      </c>
      <c r="P24" s="15">
        <v>900704052</v>
      </c>
      <c r="Q24" s="16" t="s">
        <v>1063</v>
      </c>
      <c r="R24" s="46">
        <v>1140</v>
      </c>
      <c r="S24" s="18" t="s">
        <v>36</v>
      </c>
      <c r="T24" s="19">
        <v>4039.473684</v>
      </c>
      <c r="U24" s="19">
        <v>0</v>
      </c>
      <c r="V24" s="19">
        <f t="shared" si="1"/>
        <v>4604999.99976</v>
      </c>
      <c r="W24" s="17" t="s">
        <v>39</v>
      </c>
    </row>
    <row r="25" spans="1:23" x14ac:dyDescent="0.3">
      <c r="A25" s="9" t="s">
        <v>1091</v>
      </c>
      <c r="B25" s="10" t="s">
        <v>1121</v>
      </c>
      <c r="C25" s="11" t="s">
        <v>1120</v>
      </c>
      <c r="D25" s="12">
        <v>43970</v>
      </c>
      <c r="E25" s="12">
        <v>43970</v>
      </c>
      <c r="F25" s="13">
        <v>3817086</v>
      </c>
      <c r="G25" s="14">
        <v>0</v>
      </c>
      <c r="H25" s="9" t="s">
        <v>1091</v>
      </c>
      <c r="I25" s="10" t="s">
        <v>2048</v>
      </c>
      <c r="J25" s="11" t="s">
        <v>1096</v>
      </c>
      <c r="K25" s="12">
        <v>43927</v>
      </c>
      <c r="L25" s="12">
        <v>43928</v>
      </c>
      <c r="M25" s="13">
        <v>82970740</v>
      </c>
      <c r="N25" s="14">
        <v>0</v>
      </c>
      <c r="O25" s="9" t="s">
        <v>1097</v>
      </c>
      <c r="P25" s="15">
        <v>59311027</v>
      </c>
      <c r="Q25" s="16" t="s">
        <v>1099</v>
      </c>
      <c r="R25" s="46">
        <v>3496</v>
      </c>
      <c r="S25" s="18" t="s">
        <v>36</v>
      </c>
      <c r="T25" s="19">
        <v>4289.4736842105267</v>
      </c>
      <c r="U25" s="19">
        <v>0</v>
      </c>
      <c r="V25" s="19">
        <f t="shared" si="1"/>
        <v>14996000.000000002</v>
      </c>
      <c r="W25" s="17" t="s">
        <v>39</v>
      </c>
    </row>
    <row r="26" spans="1:23" x14ac:dyDescent="0.3">
      <c r="A26" s="9" t="s">
        <v>1091</v>
      </c>
      <c r="B26" s="10" t="s">
        <v>1124</v>
      </c>
      <c r="C26" s="11" t="s">
        <v>1125</v>
      </c>
      <c r="D26" s="12">
        <v>43970</v>
      </c>
      <c r="E26" s="12">
        <v>43970</v>
      </c>
      <c r="F26" s="13">
        <v>984924.5</v>
      </c>
      <c r="G26" s="14">
        <v>0</v>
      </c>
      <c r="H26" s="9" t="s">
        <v>1091</v>
      </c>
      <c r="I26" s="10" t="s">
        <v>1121</v>
      </c>
      <c r="J26" s="11" t="s">
        <v>1120</v>
      </c>
      <c r="K26" s="12">
        <v>43970</v>
      </c>
      <c r="L26" s="12">
        <v>43970</v>
      </c>
      <c r="M26" s="13">
        <v>3817086</v>
      </c>
      <c r="N26" s="14">
        <v>0</v>
      </c>
      <c r="O26" s="9" t="s">
        <v>314</v>
      </c>
      <c r="P26" s="15">
        <v>10125834</v>
      </c>
      <c r="Q26" s="16" t="s">
        <v>1123</v>
      </c>
      <c r="R26" s="46">
        <v>757</v>
      </c>
      <c r="S26" s="18" t="s">
        <v>36</v>
      </c>
      <c r="T26" s="19">
        <v>5042.3857331571999</v>
      </c>
      <c r="U26" s="19">
        <v>0</v>
      </c>
      <c r="V26" s="19">
        <f t="shared" si="1"/>
        <v>3817086.0000000005</v>
      </c>
      <c r="W26" s="17" t="s">
        <v>39</v>
      </c>
    </row>
    <row r="27" spans="1:23" x14ac:dyDescent="0.3">
      <c r="A27" s="9" t="s">
        <v>1091</v>
      </c>
      <c r="B27" s="10" t="s">
        <v>1131</v>
      </c>
      <c r="C27" s="11" t="s">
        <v>1125</v>
      </c>
      <c r="D27" s="12">
        <v>43973</v>
      </c>
      <c r="E27" s="12">
        <v>43973</v>
      </c>
      <c r="F27" s="13">
        <v>1407035</v>
      </c>
      <c r="G27" s="14">
        <v>0</v>
      </c>
      <c r="H27" s="9" t="s">
        <v>1091</v>
      </c>
      <c r="I27" s="10" t="s">
        <v>1124</v>
      </c>
      <c r="J27" s="11" t="s">
        <v>1125</v>
      </c>
      <c r="K27" s="12">
        <v>43970</v>
      </c>
      <c r="L27" s="12">
        <v>43970</v>
      </c>
      <c r="M27" s="13">
        <v>984924.5</v>
      </c>
      <c r="N27" s="14">
        <v>0</v>
      </c>
      <c r="O27" s="9" t="s">
        <v>68</v>
      </c>
      <c r="P27" s="15">
        <v>900350133</v>
      </c>
      <c r="Q27" s="16" t="s">
        <v>1126</v>
      </c>
      <c r="R27" s="46">
        <v>185.465</v>
      </c>
      <c r="S27" s="18" t="s">
        <v>36</v>
      </c>
      <c r="T27" s="19">
        <v>5310.5680317040951</v>
      </c>
      <c r="U27" s="19">
        <v>0</v>
      </c>
      <c r="V27" s="19">
        <f t="shared" si="1"/>
        <v>984924.5</v>
      </c>
      <c r="W27" s="17" t="s">
        <v>39</v>
      </c>
    </row>
    <row r="28" spans="1:23" x14ac:dyDescent="0.3">
      <c r="A28" s="9" t="s">
        <v>1091</v>
      </c>
      <c r="B28" s="10" t="s">
        <v>1268</v>
      </c>
      <c r="C28" s="11" t="s">
        <v>1269</v>
      </c>
      <c r="D28" s="12">
        <v>44169</v>
      </c>
      <c r="E28" s="12">
        <v>44169</v>
      </c>
      <c r="F28" s="13">
        <v>23063405</v>
      </c>
      <c r="G28" s="14"/>
      <c r="H28" s="9" t="s">
        <v>1091</v>
      </c>
      <c r="I28" s="10" t="s">
        <v>1131</v>
      </c>
      <c r="J28" s="11" t="s">
        <v>1125</v>
      </c>
      <c r="K28" s="12">
        <v>43973</v>
      </c>
      <c r="L28" s="12">
        <v>43973</v>
      </c>
      <c r="M28" s="13">
        <v>1407035</v>
      </c>
      <c r="N28" s="14">
        <v>0</v>
      </c>
      <c r="O28" s="9" t="s">
        <v>1132</v>
      </c>
      <c r="P28" s="15">
        <v>900922139</v>
      </c>
      <c r="Q28" s="16" t="s">
        <v>1123</v>
      </c>
      <c r="R28" s="46">
        <v>50</v>
      </c>
      <c r="S28" s="18" t="s">
        <v>36</v>
      </c>
      <c r="T28" s="19">
        <v>28140.7</v>
      </c>
      <c r="U28" s="19">
        <v>0</v>
      </c>
      <c r="V28" s="19">
        <f t="shared" si="1"/>
        <v>1407035</v>
      </c>
      <c r="W28" s="17" t="s">
        <v>39</v>
      </c>
    </row>
    <row r="29" spans="1:23" x14ac:dyDescent="0.3">
      <c r="A29" s="9" t="s">
        <v>1091</v>
      </c>
      <c r="B29" s="10" t="s">
        <v>1274</v>
      </c>
      <c r="C29" s="11" t="s">
        <v>1275</v>
      </c>
      <c r="D29" s="12">
        <v>44169</v>
      </c>
      <c r="E29" s="12">
        <v>44169</v>
      </c>
      <c r="F29" s="13">
        <v>6075114</v>
      </c>
      <c r="G29" s="14"/>
      <c r="H29" s="9" t="s">
        <v>1091</v>
      </c>
      <c r="I29" s="10" t="s">
        <v>1268</v>
      </c>
      <c r="J29" s="11" t="s">
        <v>1269</v>
      </c>
      <c r="K29" s="12">
        <v>44169</v>
      </c>
      <c r="L29" s="12">
        <v>44169</v>
      </c>
      <c r="M29" s="13">
        <v>23063405</v>
      </c>
      <c r="N29" s="14">
        <v>0</v>
      </c>
      <c r="O29" s="9" t="s">
        <v>60</v>
      </c>
      <c r="P29" s="15">
        <v>830001338</v>
      </c>
      <c r="Q29" s="16" t="s">
        <v>1270</v>
      </c>
      <c r="R29" s="46">
        <f>1660*3.75</f>
        <v>6225</v>
      </c>
      <c r="S29" s="18" t="s">
        <v>36</v>
      </c>
      <c r="T29" s="19">
        <f>5777.89/3.75</f>
        <v>1540.7706666666668</v>
      </c>
      <c r="U29" s="19">
        <v>0</v>
      </c>
      <c r="V29" s="19">
        <f t="shared" si="1"/>
        <v>9591297.4000000004</v>
      </c>
      <c r="W29" s="17" t="s">
        <v>39</v>
      </c>
    </row>
    <row r="30" spans="1:23" x14ac:dyDescent="0.3">
      <c r="A30" s="9" t="s">
        <v>1291</v>
      </c>
      <c r="B30" s="10" t="s">
        <v>1292</v>
      </c>
      <c r="C30" s="11" t="s">
        <v>1293</v>
      </c>
      <c r="D30" s="12">
        <v>43915</v>
      </c>
      <c r="E30" s="12">
        <v>43916</v>
      </c>
      <c r="F30" s="13">
        <v>79231499</v>
      </c>
      <c r="G30" s="14">
        <v>0</v>
      </c>
      <c r="H30" s="9" t="s">
        <v>1091</v>
      </c>
      <c r="I30" s="10" t="s">
        <v>1274</v>
      </c>
      <c r="J30" s="11" t="s">
        <v>1275</v>
      </c>
      <c r="K30" s="12">
        <v>44169</v>
      </c>
      <c r="L30" s="12">
        <v>44169</v>
      </c>
      <c r="M30" s="13">
        <v>6075114</v>
      </c>
      <c r="N30" s="14">
        <v>0</v>
      </c>
      <c r="O30" s="9" t="s">
        <v>271</v>
      </c>
      <c r="P30" s="15">
        <v>19254921</v>
      </c>
      <c r="Q30" s="16" t="s">
        <v>1276</v>
      </c>
      <c r="R30" s="46">
        <v>150</v>
      </c>
      <c r="S30" s="18" t="s">
        <v>36</v>
      </c>
      <c r="T30" s="19">
        <f>1994.97*2</f>
        <v>3989.94</v>
      </c>
      <c r="U30" s="19">
        <v>0</v>
      </c>
      <c r="V30" s="19">
        <f t="shared" si="1"/>
        <v>598491</v>
      </c>
      <c r="W30" s="17" t="s">
        <v>39</v>
      </c>
    </row>
    <row r="31" spans="1:23" x14ac:dyDescent="0.3">
      <c r="A31" s="9" t="s">
        <v>1306</v>
      </c>
      <c r="B31" s="10" t="s">
        <v>1329</v>
      </c>
      <c r="C31" s="11" t="s">
        <v>1330</v>
      </c>
      <c r="D31" s="12">
        <v>43917</v>
      </c>
      <c r="E31" s="12">
        <v>43910</v>
      </c>
      <c r="F31" s="13">
        <v>1911550</v>
      </c>
      <c r="G31" s="14">
        <v>0</v>
      </c>
      <c r="H31" s="9" t="s">
        <v>1291</v>
      </c>
      <c r="I31" s="10" t="s">
        <v>1292</v>
      </c>
      <c r="J31" s="11" t="s">
        <v>1293</v>
      </c>
      <c r="K31" s="12">
        <v>43915</v>
      </c>
      <c r="L31" s="12">
        <v>43916</v>
      </c>
      <c r="M31" s="13">
        <v>79231499</v>
      </c>
      <c r="N31" s="14">
        <v>0</v>
      </c>
      <c r="O31" s="9" t="s">
        <v>1294</v>
      </c>
      <c r="P31" s="15">
        <v>900916649</v>
      </c>
      <c r="Q31" s="16" t="s">
        <v>1296</v>
      </c>
      <c r="R31" s="46">
        <v>1000</v>
      </c>
      <c r="S31" s="18" t="s">
        <v>36</v>
      </c>
      <c r="T31" s="19">
        <v>8000</v>
      </c>
      <c r="U31" s="19">
        <v>0</v>
      </c>
      <c r="V31" s="19">
        <f t="shared" si="1"/>
        <v>8000000</v>
      </c>
      <c r="W31" s="17" t="s">
        <v>39</v>
      </c>
    </row>
    <row r="32" spans="1:23" x14ac:dyDescent="0.3">
      <c r="A32" s="9" t="s">
        <v>1306</v>
      </c>
      <c r="B32" s="10" t="s">
        <v>1329</v>
      </c>
      <c r="C32" s="11" t="s">
        <v>1330</v>
      </c>
      <c r="D32" s="12">
        <v>43917</v>
      </c>
      <c r="E32" s="12">
        <v>43910</v>
      </c>
      <c r="F32" s="13">
        <v>1911550</v>
      </c>
      <c r="G32" s="14">
        <v>0</v>
      </c>
      <c r="H32" s="9" t="s">
        <v>1291</v>
      </c>
      <c r="I32" s="10">
        <v>49492</v>
      </c>
      <c r="J32" s="11" t="s">
        <v>2303</v>
      </c>
      <c r="K32" s="12">
        <v>43980</v>
      </c>
      <c r="L32" s="12">
        <v>43980</v>
      </c>
      <c r="M32" s="13">
        <v>4448000</v>
      </c>
      <c r="N32" s="14">
        <v>0</v>
      </c>
      <c r="O32" s="9" t="s">
        <v>2172</v>
      </c>
      <c r="P32" s="15">
        <v>830037946</v>
      </c>
      <c r="Q32" s="16" t="s">
        <v>2175</v>
      </c>
      <c r="R32" s="17">
        <f>20*80</f>
        <v>1600</v>
      </c>
      <c r="S32" s="18" t="s">
        <v>36</v>
      </c>
      <c r="T32" s="19">
        <f>55600/20</f>
        <v>2780</v>
      </c>
      <c r="U32" s="19">
        <v>0</v>
      </c>
      <c r="V32" s="19">
        <f t="shared" si="1"/>
        <v>4448000</v>
      </c>
      <c r="W32" s="17" t="s">
        <v>39</v>
      </c>
    </row>
    <row r="33" spans="1:23" x14ac:dyDescent="0.3">
      <c r="A33" s="9" t="s">
        <v>1306</v>
      </c>
      <c r="B33" s="10" t="s">
        <v>1329</v>
      </c>
      <c r="C33" s="11" t="s">
        <v>1330</v>
      </c>
      <c r="D33" s="12">
        <v>43917</v>
      </c>
      <c r="E33" s="12">
        <v>43910</v>
      </c>
      <c r="F33" s="13">
        <v>1911550</v>
      </c>
      <c r="G33" s="14">
        <v>0</v>
      </c>
      <c r="H33" s="9" t="s">
        <v>1291</v>
      </c>
      <c r="I33" s="10">
        <v>61994</v>
      </c>
      <c r="J33" s="11" t="s">
        <v>2211</v>
      </c>
      <c r="K33" s="12">
        <v>44181</v>
      </c>
      <c r="L33" s="12">
        <v>44181</v>
      </c>
      <c r="M33" s="13">
        <v>6525000</v>
      </c>
      <c r="N33" s="14">
        <v>0</v>
      </c>
      <c r="O33" s="9" t="s">
        <v>2212</v>
      </c>
      <c r="P33" s="15">
        <v>810000481</v>
      </c>
      <c r="Q33" s="16" t="s">
        <v>2213</v>
      </c>
      <c r="R33" s="17">
        <f>150*3.75</f>
        <v>562.5</v>
      </c>
      <c r="S33" s="18" t="s">
        <v>36</v>
      </c>
      <c r="T33" s="19">
        <f>43500/3.75</f>
        <v>11600</v>
      </c>
      <c r="U33" s="19">
        <v>0</v>
      </c>
      <c r="V33" s="19">
        <f t="shared" si="1"/>
        <v>6525000</v>
      </c>
      <c r="W33" s="17" t="s">
        <v>39</v>
      </c>
    </row>
    <row r="34" spans="1:23" x14ac:dyDescent="0.3">
      <c r="A34" s="9" t="s">
        <v>1306</v>
      </c>
      <c r="B34" s="10">
        <v>49008</v>
      </c>
      <c r="C34" s="11" t="s">
        <v>1372</v>
      </c>
      <c r="D34" s="12">
        <v>43973</v>
      </c>
      <c r="E34" s="12">
        <v>43973</v>
      </c>
      <c r="F34" s="13">
        <v>4484000</v>
      </c>
      <c r="G34" s="14">
        <v>0</v>
      </c>
      <c r="H34" s="9" t="s">
        <v>1306</v>
      </c>
      <c r="I34" s="10" t="s">
        <v>1329</v>
      </c>
      <c r="J34" s="11" t="s">
        <v>1330</v>
      </c>
      <c r="K34" s="12">
        <v>43917</v>
      </c>
      <c r="L34" s="12">
        <v>43910</v>
      </c>
      <c r="M34" s="13">
        <v>1911550</v>
      </c>
      <c r="N34" s="14">
        <v>0</v>
      </c>
      <c r="O34" s="9" t="s">
        <v>1331</v>
      </c>
      <c r="P34" s="15">
        <v>12109146</v>
      </c>
      <c r="Q34" s="16" t="s">
        <v>1332</v>
      </c>
      <c r="R34" s="46">
        <v>36</v>
      </c>
      <c r="S34" s="18" t="s">
        <v>36</v>
      </c>
      <c r="T34" s="19">
        <v>6638.6554621848745</v>
      </c>
      <c r="U34" s="19">
        <f t="shared" ref="U34:U36" si="5">T34*0.19</f>
        <v>1261.3445378151262</v>
      </c>
      <c r="V34" s="19">
        <f t="shared" si="1"/>
        <v>284400.00000000006</v>
      </c>
      <c r="W34" s="17" t="s">
        <v>39</v>
      </c>
    </row>
    <row r="35" spans="1:23" x14ac:dyDescent="0.3">
      <c r="A35" s="9" t="s">
        <v>1306</v>
      </c>
      <c r="B35" s="10" t="s">
        <v>1427</v>
      </c>
      <c r="C35" s="11" t="s">
        <v>1428</v>
      </c>
      <c r="D35" s="12">
        <v>44180</v>
      </c>
      <c r="E35" s="12">
        <v>44180</v>
      </c>
      <c r="F35" s="13">
        <v>3058800</v>
      </c>
      <c r="G35" s="14">
        <v>0</v>
      </c>
      <c r="H35" s="9" t="s">
        <v>1306</v>
      </c>
      <c r="I35" s="10" t="s">
        <v>1329</v>
      </c>
      <c r="J35" s="11" t="s">
        <v>1330</v>
      </c>
      <c r="K35" s="12">
        <v>43917</v>
      </c>
      <c r="L35" s="12">
        <v>43910</v>
      </c>
      <c r="M35" s="13">
        <v>1911550</v>
      </c>
      <c r="N35" s="14">
        <v>0</v>
      </c>
      <c r="O35" s="9" t="s">
        <v>1331</v>
      </c>
      <c r="P35" s="15">
        <v>12109146</v>
      </c>
      <c r="Q35" s="16" t="s">
        <v>1334</v>
      </c>
      <c r="R35" s="46">
        <v>3</v>
      </c>
      <c r="S35" s="18" t="s">
        <v>36</v>
      </c>
      <c r="T35" s="19">
        <v>41176.470588235294</v>
      </c>
      <c r="U35" s="19">
        <f t="shared" si="5"/>
        <v>7823.5294117647063</v>
      </c>
      <c r="V35" s="19">
        <f t="shared" si="1"/>
        <v>147000</v>
      </c>
      <c r="W35" s="17" t="s">
        <v>39</v>
      </c>
    </row>
    <row r="36" spans="1:23" x14ac:dyDescent="0.3">
      <c r="A36" s="9" t="s">
        <v>1437</v>
      </c>
      <c r="B36" s="10">
        <v>35</v>
      </c>
      <c r="C36" s="11" t="s">
        <v>1438</v>
      </c>
      <c r="D36" s="12">
        <v>43477</v>
      </c>
      <c r="E36" s="12">
        <v>43800</v>
      </c>
      <c r="F36" s="13">
        <v>0</v>
      </c>
      <c r="G36" s="14">
        <v>67434392</v>
      </c>
      <c r="H36" s="9" t="s">
        <v>1306</v>
      </c>
      <c r="I36" s="10" t="s">
        <v>1329</v>
      </c>
      <c r="J36" s="11" t="s">
        <v>1330</v>
      </c>
      <c r="K36" s="12">
        <v>43917</v>
      </c>
      <c r="L36" s="12">
        <v>43910</v>
      </c>
      <c r="M36" s="13">
        <v>1911550</v>
      </c>
      <c r="N36" s="14">
        <v>0</v>
      </c>
      <c r="O36" s="9" t="s">
        <v>1331</v>
      </c>
      <c r="P36" s="15">
        <v>12109146</v>
      </c>
      <c r="Q36" s="16" t="s">
        <v>1337</v>
      </c>
      <c r="R36" s="46">
        <v>8</v>
      </c>
      <c r="S36" s="18" t="s">
        <v>36</v>
      </c>
      <c r="T36" s="19">
        <v>12142.85714285715</v>
      </c>
      <c r="U36" s="19">
        <f t="shared" si="5"/>
        <v>2307.1428571428587</v>
      </c>
      <c r="V36" s="19">
        <f t="shared" si="1"/>
        <v>115600.00000000007</v>
      </c>
      <c r="W36" s="17" t="s">
        <v>39</v>
      </c>
    </row>
    <row r="37" spans="1:23" x14ac:dyDescent="0.3">
      <c r="A37" s="9" t="s">
        <v>1451</v>
      </c>
      <c r="B37" s="10">
        <v>59177</v>
      </c>
      <c r="C37" s="11" t="s">
        <v>1824</v>
      </c>
      <c r="D37" s="12">
        <v>44155</v>
      </c>
      <c r="E37" s="12">
        <v>44155</v>
      </c>
      <c r="F37" s="13">
        <v>15004982.41</v>
      </c>
      <c r="G37" s="14">
        <v>0</v>
      </c>
      <c r="H37" s="9" t="s">
        <v>1306</v>
      </c>
      <c r="I37" s="10" t="s">
        <v>2059</v>
      </c>
      <c r="J37" s="11" t="s">
        <v>1372</v>
      </c>
      <c r="K37" s="12">
        <v>43973</v>
      </c>
      <c r="L37" s="12">
        <v>43973</v>
      </c>
      <c r="M37" s="13">
        <v>4484000</v>
      </c>
      <c r="N37" s="14">
        <v>0</v>
      </c>
      <c r="O37" s="9" t="s">
        <v>356</v>
      </c>
      <c r="P37" s="15">
        <v>900300970</v>
      </c>
      <c r="Q37" s="16" t="s">
        <v>39</v>
      </c>
      <c r="R37" s="46">
        <v>318</v>
      </c>
      <c r="S37" s="18" t="s">
        <v>36</v>
      </c>
      <c r="T37" s="19">
        <v>14100.6289308176</v>
      </c>
      <c r="U37" s="19">
        <v>0</v>
      </c>
      <c r="V37" s="19">
        <f t="shared" si="1"/>
        <v>4483999.9999999972</v>
      </c>
      <c r="W37" s="17" t="s">
        <v>39</v>
      </c>
    </row>
    <row r="38" spans="1:23" x14ac:dyDescent="0.3">
      <c r="A38" s="9" t="s">
        <v>1472</v>
      </c>
      <c r="B38" s="10" t="s">
        <v>1539</v>
      </c>
      <c r="C38" s="11" t="s">
        <v>1537</v>
      </c>
      <c r="D38" s="12">
        <v>43986</v>
      </c>
      <c r="E38" s="12">
        <v>43986</v>
      </c>
      <c r="F38" s="13">
        <v>4440238.3</v>
      </c>
      <c r="G38" s="14">
        <v>0</v>
      </c>
      <c r="H38" s="9" t="s">
        <v>1306</v>
      </c>
      <c r="I38" s="10" t="s">
        <v>1427</v>
      </c>
      <c r="J38" s="11" t="s">
        <v>1428</v>
      </c>
      <c r="K38" s="12">
        <v>44180</v>
      </c>
      <c r="L38" s="12">
        <v>44180</v>
      </c>
      <c r="M38" s="13">
        <v>3058800</v>
      </c>
      <c r="N38" s="14">
        <v>0</v>
      </c>
      <c r="O38" s="9" t="s">
        <v>401</v>
      </c>
      <c r="P38" s="15" t="s">
        <v>992</v>
      </c>
      <c r="Q38" s="16" t="s">
        <v>1931</v>
      </c>
      <c r="R38" s="46">
        <v>600</v>
      </c>
      <c r="S38" s="18" t="s">
        <v>36</v>
      </c>
      <c r="T38" s="19">
        <f>1999*2</f>
        <v>3998</v>
      </c>
      <c r="U38" s="19">
        <v>0</v>
      </c>
      <c r="V38" s="19">
        <f t="shared" si="1"/>
        <v>2398800</v>
      </c>
      <c r="W38" s="17" t="s">
        <v>39</v>
      </c>
    </row>
    <row r="39" spans="1:23" x14ac:dyDescent="0.3">
      <c r="A39" s="9" t="s">
        <v>1472</v>
      </c>
      <c r="B39" s="10" t="s">
        <v>1561</v>
      </c>
      <c r="C39" s="11" t="s">
        <v>1562</v>
      </c>
      <c r="D39" s="12">
        <v>43770</v>
      </c>
      <c r="E39" s="12">
        <v>43936</v>
      </c>
      <c r="F39" s="13">
        <v>0</v>
      </c>
      <c r="G39" s="14">
        <v>31068000</v>
      </c>
      <c r="H39" s="9" t="s">
        <v>1437</v>
      </c>
      <c r="I39" s="10" t="s">
        <v>2074</v>
      </c>
      <c r="J39" s="11" t="s">
        <v>1824</v>
      </c>
      <c r="K39" s="12">
        <v>44155</v>
      </c>
      <c r="L39" s="12">
        <v>44155</v>
      </c>
      <c r="M39" s="13">
        <v>15004982.41</v>
      </c>
      <c r="N39" s="14">
        <v>0</v>
      </c>
      <c r="O39" s="9" t="s">
        <v>1462</v>
      </c>
      <c r="P39" s="15" t="s">
        <v>1413</v>
      </c>
      <c r="Q39" s="16" t="s">
        <v>1934</v>
      </c>
      <c r="R39" s="17">
        <f>2000/2</f>
        <v>1000</v>
      </c>
      <c r="S39" s="18" t="s">
        <v>36</v>
      </c>
      <c r="T39" s="19">
        <f>2602.6*2</f>
        <v>5205.2</v>
      </c>
      <c r="U39" s="19">
        <v>0</v>
      </c>
      <c r="V39" s="19">
        <f t="shared" si="1"/>
        <v>5205200</v>
      </c>
      <c r="W39" s="17" t="s">
        <v>39</v>
      </c>
    </row>
    <row r="40" spans="1:23" x14ac:dyDescent="0.3">
      <c r="A40" s="9" t="s">
        <v>1472</v>
      </c>
      <c r="B40" s="10" t="s">
        <v>1561</v>
      </c>
      <c r="C40" s="11" t="s">
        <v>1562</v>
      </c>
      <c r="D40" s="12">
        <v>43770</v>
      </c>
      <c r="E40" s="12">
        <v>43936</v>
      </c>
      <c r="F40" s="13">
        <v>0</v>
      </c>
      <c r="G40" s="14">
        <v>31068000</v>
      </c>
      <c r="H40" s="9" t="s">
        <v>1472</v>
      </c>
      <c r="I40" s="10" t="s">
        <v>1539</v>
      </c>
      <c r="J40" s="11" t="s">
        <v>1537</v>
      </c>
      <c r="K40" s="12">
        <v>43986</v>
      </c>
      <c r="L40" s="12">
        <v>43986</v>
      </c>
      <c r="M40" s="13">
        <v>4440238.3</v>
      </c>
      <c r="N40" s="14">
        <v>0</v>
      </c>
      <c r="O40" s="9" t="s">
        <v>382</v>
      </c>
      <c r="P40" s="15">
        <v>900567130</v>
      </c>
      <c r="Q40" s="16" t="s">
        <v>1540</v>
      </c>
      <c r="R40" s="46">
        <v>787</v>
      </c>
      <c r="S40" s="29" t="s">
        <v>36</v>
      </c>
      <c r="T40" s="19">
        <v>4610</v>
      </c>
      <c r="U40" s="19">
        <v>0</v>
      </c>
      <c r="V40" s="19">
        <f t="shared" si="1"/>
        <v>3628070</v>
      </c>
      <c r="W40" s="17" t="s">
        <v>39</v>
      </c>
    </row>
    <row r="41" spans="1:23" x14ac:dyDescent="0.3">
      <c r="A41" s="9" t="s">
        <v>1571</v>
      </c>
      <c r="B41" s="10" t="s">
        <v>1599</v>
      </c>
      <c r="C41" s="11" t="s">
        <v>1600</v>
      </c>
      <c r="D41" s="12">
        <v>43987</v>
      </c>
      <c r="E41" s="12">
        <v>43987</v>
      </c>
      <c r="F41" s="13">
        <v>2485303.5</v>
      </c>
      <c r="G41" s="14">
        <v>0</v>
      </c>
      <c r="H41" s="9" t="s">
        <v>1472</v>
      </c>
      <c r="I41" s="10" t="s">
        <v>1561</v>
      </c>
      <c r="J41" s="11" t="s">
        <v>1562</v>
      </c>
      <c r="K41" s="12">
        <v>43770</v>
      </c>
      <c r="L41" s="12">
        <v>43936</v>
      </c>
      <c r="M41" s="13">
        <v>0</v>
      </c>
      <c r="N41" s="14">
        <v>31068000</v>
      </c>
      <c r="O41" s="9" t="s">
        <v>1563</v>
      </c>
      <c r="P41" s="15">
        <v>812000152</v>
      </c>
      <c r="Q41" s="16" t="s">
        <v>1565</v>
      </c>
      <c r="R41" s="46">
        <v>400</v>
      </c>
      <c r="S41" s="29" t="s">
        <v>36</v>
      </c>
      <c r="T41" s="19">
        <v>6000</v>
      </c>
      <c r="U41" s="19">
        <v>0</v>
      </c>
      <c r="V41" s="19">
        <f t="shared" si="1"/>
        <v>2400000</v>
      </c>
      <c r="W41" s="17" t="s">
        <v>39</v>
      </c>
    </row>
    <row r="42" spans="1:23" x14ac:dyDescent="0.3">
      <c r="A42" s="9" t="s">
        <v>1571</v>
      </c>
      <c r="B42" s="10" t="s">
        <v>1620</v>
      </c>
      <c r="C42" s="11" t="s">
        <v>1828</v>
      </c>
      <c r="D42" s="12">
        <v>44099</v>
      </c>
      <c r="E42" s="12">
        <v>44099</v>
      </c>
      <c r="F42" s="13">
        <v>32218793.190000001</v>
      </c>
      <c r="G42" s="14">
        <v>0</v>
      </c>
      <c r="H42" s="9" t="s">
        <v>1472</v>
      </c>
      <c r="I42" s="10" t="s">
        <v>1561</v>
      </c>
      <c r="J42" s="11" t="s">
        <v>1562</v>
      </c>
      <c r="K42" s="12">
        <v>43770</v>
      </c>
      <c r="L42" s="12">
        <v>43936</v>
      </c>
      <c r="M42" s="13">
        <v>0</v>
      </c>
      <c r="N42" s="14">
        <v>31068000</v>
      </c>
      <c r="O42" s="9" t="s">
        <v>1563</v>
      </c>
      <c r="P42" s="15">
        <v>812000152</v>
      </c>
      <c r="Q42" s="16" t="s">
        <v>1565</v>
      </c>
      <c r="R42" s="46">
        <v>400</v>
      </c>
      <c r="S42" s="29" t="s">
        <v>36</v>
      </c>
      <c r="T42" s="19">
        <v>6000</v>
      </c>
      <c r="U42" s="19">
        <v>0</v>
      </c>
      <c r="V42" s="19">
        <f t="shared" si="1"/>
        <v>2400000</v>
      </c>
      <c r="W42" s="17" t="s">
        <v>39</v>
      </c>
    </row>
    <row r="43" spans="1:23" x14ac:dyDescent="0.3">
      <c r="A43" s="9" t="s">
        <v>1629</v>
      </c>
      <c r="B43" s="10" t="s">
        <v>1642</v>
      </c>
      <c r="C43" s="11" t="s">
        <v>1643</v>
      </c>
      <c r="D43" s="12">
        <v>43955</v>
      </c>
      <c r="E43" s="12">
        <v>43955</v>
      </c>
      <c r="F43" s="13">
        <v>12251660.609999999</v>
      </c>
      <c r="G43" s="14">
        <v>0</v>
      </c>
      <c r="H43" s="9" t="s">
        <v>1571</v>
      </c>
      <c r="I43" s="10" t="s">
        <v>2087</v>
      </c>
      <c r="J43" s="11" t="s">
        <v>1600</v>
      </c>
      <c r="K43" s="12">
        <v>43987</v>
      </c>
      <c r="L43" s="12">
        <v>43987</v>
      </c>
      <c r="M43" s="13">
        <v>2485303.5</v>
      </c>
      <c r="N43" s="14">
        <v>0</v>
      </c>
      <c r="O43" s="9" t="s">
        <v>382</v>
      </c>
      <c r="P43" s="15">
        <v>900567130</v>
      </c>
      <c r="Q43" s="16" t="s">
        <v>1601</v>
      </c>
      <c r="R43" s="46">
        <v>562</v>
      </c>
      <c r="S43" s="29" t="s">
        <v>36</v>
      </c>
      <c r="T43" s="19">
        <v>4422.2482206405693</v>
      </c>
      <c r="U43" s="19">
        <v>0</v>
      </c>
      <c r="V43" s="19">
        <f t="shared" si="1"/>
        <v>2485303.5</v>
      </c>
      <c r="W43" s="17" t="s">
        <v>39</v>
      </c>
    </row>
    <row r="44" spans="1:23" x14ac:dyDescent="0.3">
      <c r="A44" s="9" t="s">
        <v>1629</v>
      </c>
      <c r="B44" s="10" t="s">
        <v>1661</v>
      </c>
      <c r="C44" s="11" t="s">
        <v>1662</v>
      </c>
      <c r="D44" s="12">
        <v>43965</v>
      </c>
      <c r="E44" s="12">
        <v>43965</v>
      </c>
      <c r="F44" s="13">
        <v>10113019.77</v>
      </c>
      <c r="G44" s="14">
        <v>0</v>
      </c>
      <c r="H44" s="9" t="s">
        <v>1571</v>
      </c>
      <c r="I44" s="10" t="s">
        <v>2104</v>
      </c>
      <c r="J44" s="11" t="s">
        <v>1828</v>
      </c>
      <c r="K44" s="12">
        <v>44099</v>
      </c>
      <c r="L44" s="12">
        <v>44099</v>
      </c>
      <c r="M44" s="13">
        <v>32218793.190000001</v>
      </c>
      <c r="N44" s="14">
        <v>0</v>
      </c>
      <c r="O44" s="9" t="s">
        <v>964</v>
      </c>
      <c r="P44" s="15">
        <v>8300013381</v>
      </c>
      <c r="Q44" s="16" t="s">
        <v>1601</v>
      </c>
      <c r="R44" s="46">
        <v>2915</v>
      </c>
      <c r="S44" s="18" t="s">
        <v>36</v>
      </c>
      <c r="T44" s="19">
        <v>1679.8942999999999</v>
      </c>
      <c r="U44" s="19">
        <v>0</v>
      </c>
      <c r="V44" s="19">
        <f t="shared" si="1"/>
        <v>4896891.8844999997</v>
      </c>
      <c r="W44" s="17" t="s">
        <v>39</v>
      </c>
    </row>
    <row r="45" spans="1:23" x14ac:dyDescent="0.3">
      <c r="H45" s="9" t="s">
        <v>1629</v>
      </c>
      <c r="I45" s="10" t="s">
        <v>1642</v>
      </c>
      <c r="J45" s="11" t="s">
        <v>1643</v>
      </c>
      <c r="K45" s="12">
        <v>43955</v>
      </c>
      <c r="L45" s="12">
        <v>43955</v>
      </c>
      <c r="M45" s="13">
        <v>12251660.609999999</v>
      </c>
      <c r="N45" s="14">
        <v>0</v>
      </c>
      <c r="O45" s="9" t="s">
        <v>60</v>
      </c>
      <c r="P45" s="15">
        <v>83001338</v>
      </c>
      <c r="Q45" s="16" t="s">
        <v>1645</v>
      </c>
      <c r="R45" s="17">
        <v>800</v>
      </c>
      <c r="S45" s="29" t="s">
        <v>36</v>
      </c>
      <c r="T45" s="19">
        <v>3856.25</v>
      </c>
      <c r="U45" s="19">
        <v>0</v>
      </c>
      <c r="V45" s="19">
        <f t="shared" si="1"/>
        <v>3085000</v>
      </c>
      <c r="W45" s="21" t="s">
        <v>39</v>
      </c>
    </row>
    <row r="46" spans="1:23" x14ac:dyDescent="0.3">
      <c r="H46" s="9" t="s">
        <v>1629</v>
      </c>
      <c r="I46" s="10" t="s">
        <v>1661</v>
      </c>
      <c r="J46" s="11" t="s">
        <v>1662</v>
      </c>
      <c r="K46" s="12">
        <v>43965</v>
      </c>
      <c r="L46" s="12">
        <v>43965</v>
      </c>
      <c r="M46" s="13">
        <v>10113019.77</v>
      </c>
      <c r="N46" s="14">
        <v>0</v>
      </c>
      <c r="O46" s="9" t="s">
        <v>1663</v>
      </c>
      <c r="P46" s="15">
        <v>900791672</v>
      </c>
      <c r="Q46" s="16" t="s">
        <v>1664</v>
      </c>
      <c r="R46" s="17">
        <v>1276</v>
      </c>
      <c r="S46" s="29" t="s">
        <v>36</v>
      </c>
      <c r="T46" s="19">
        <v>5598.9575000000004</v>
      </c>
      <c r="U46" s="19">
        <v>0</v>
      </c>
      <c r="V46" s="19">
        <f t="shared" si="1"/>
        <v>7144269.7700000005</v>
      </c>
      <c r="W46" s="21" t="s">
        <v>39</v>
      </c>
    </row>
  </sheetData>
  <dataValidations count="16">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B4 L17:L19 E5:E6 E8 E16:E18 E36:E38 A44:B44 D44:G44 D2:I4 L5:L6 L8 L39:L40 K2:P4 H46:I46 K46:P46">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16:D18 D31 D34:E34 D5:D7 D36:D38 K34 K5:K7 K17:K19 K37:L37 K39:K4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5:F6 F16:F18 F36:F38 F43 M39:M40 M5:M6 M17:M19 M4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11:A12 A14:A21 A30 A5:A7 A9 A36:A38 H31:H33 H5:H7 H9:H22 H40">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P15:P18 P31 P10 P39 P5 P42:P43 P4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O15:O22 O31 O38:O39 O5:O6 O9:O10 O42:O43 O4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16:B21 B5:B7 B36:B38 I17:I22 I5:I7 I39:I4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P9 P6 P19">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7 J7">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8 H8">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14:E15 D32:E32 D41:E41 D10:E10 D19:E30 D43:E43 K35:L35 K10:L11 K15:L16 K20:L31 K43:L43 K45:L45">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19:F21 F35 F41 F10 F14:F15 F30 F43 M38 M10:M11 M15:M16 M20:M22 M31 M43 M4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A1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10 B13:B15 B30 B40 I31 I10:I11 I14:I16 I42">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1 G13 G30 G36:G37 N31 N12 N14 N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D40 K42">
      <formula1>-9223372036854770000</formula1>
      <formula2>9223372036854770000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sqref="A1:P5"/>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138</v>
      </c>
      <c r="B2" s="10" t="s">
        <v>150</v>
      </c>
      <c r="C2" s="28" t="s">
        <v>151</v>
      </c>
      <c r="D2" s="12">
        <v>43945</v>
      </c>
      <c r="E2" s="12">
        <v>43945</v>
      </c>
      <c r="F2" s="13">
        <v>5103664</v>
      </c>
      <c r="G2" s="14">
        <v>0</v>
      </c>
      <c r="H2" s="9" t="s">
        <v>152</v>
      </c>
      <c r="I2" s="15">
        <v>900843992</v>
      </c>
      <c r="J2" s="16" t="s">
        <v>153</v>
      </c>
      <c r="K2" s="17">
        <v>1</v>
      </c>
      <c r="L2" s="29" t="s">
        <v>154</v>
      </c>
      <c r="M2" s="19">
        <v>4288793</v>
      </c>
      <c r="N2" s="19">
        <f t="shared" ref="N2" si="0">M2*0.19</f>
        <v>814870.67</v>
      </c>
      <c r="O2" s="19">
        <f t="shared" ref="O2:O5" si="1">K2*(M2+N2)</f>
        <v>5103663.67</v>
      </c>
      <c r="P2" s="17" t="s">
        <v>155</v>
      </c>
    </row>
    <row r="3" spans="1:16" x14ac:dyDescent="0.3">
      <c r="A3" s="9" t="s">
        <v>861</v>
      </c>
      <c r="B3" s="10" t="s">
        <v>927</v>
      </c>
      <c r="C3" s="11" t="s">
        <v>928</v>
      </c>
      <c r="D3" s="12">
        <v>43977</v>
      </c>
      <c r="E3" s="12">
        <v>43977</v>
      </c>
      <c r="F3" s="13">
        <v>30414385</v>
      </c>
      <c r="G3" s="14">
        <v>0</v>
      </c>
      <c r="H3" s="9" t="s">
        <v>929</v>
      </c>
      <c r="I3" s="15">
        <v>78761321</v>
      </c>
      <c r="J3" s="16" t="s">
        <v>928</v>
      </c>
      <c r="K3" s="17">
        <v>1</v>
      </c>
      <c r="L3" s="18" t="s">
        <v>569</v>
      </c>
      <c r="M3" s="19">
        <v>30188750</v>
      </c>
      <c r="N3" s="19">
        <v>225635</v>
      </c>
      <c r="O3" s="19">
        <f t="shared" si="1"/>
        <v>30414385</v>
      </c>
      <c r="P3" s="17" t="s">
        <v>155</v>
      </c>
    </row>
    <row r="4" spans="1:16" x14ac:dyDescent="0.3">
      <c r="A4" s="9" t="s">
        <v>1091</v>
      </c>
      <c r="B4" s="10">
        <v>1619602</v>
      </c>
      <c r="C4" s="11" t="s">
        <v>1136</v>
      </c>
      <c r="D4" s="12">
        <v>43990</v>
      </c>
      <c r="E4" s="12">
        <v>43992</v>
      </c>
      <c r="F4" s="13">
        <v>57691400</v>
      </c>
      <c r="G4" s="14">
        <v>0</v>
      </c>
      <c r="H4" s="9" t="s">
        <v>1137</v>
      </c>
      <c r="I4" s="15">
        <v>830014921</v>
      </c>
      <c r="J4" s="16" t="s">
        <v>1143</v>
      </c>
      <c r="K4" s="17">
        <v>10</v>
      </c>
      <c r="L4" s="18" t="s">
        <v>21</v>
      </c>
      <c r="M4" s="19">
        <v>87000</v>
      </c>
      <c r="N4" s="19">
        <v>0</v>
      </c>
      <c r="O4" s="19">
        <f t="shared" si="1"/>
        <v>870000</v>
      </c>
      <c r="P4" s="17" t="s">
        <v>155</v>
      </c>
    </row>
    <row r="5" spans="1:16" x14ac:dyDescent="0.3">
      <c r="A5" s="9" t="s">
        <v>1306</v>
      </c>
      <c r="B5" s="10" t="s">
        <v>1364</v>
      </c>
      <c r="C5" s="11" t="s">
        <v>1365</v>
      </c>
      <c r="D5" s="12">
        <v>43971</v>
      </c>
      <c r="E5" s="12">
        <v>43945</v>
      </c>
      <c r="F5" s="13">
        <v>4086300</v>
      </c>
      <c r="G5" s="14">
        <v>0</v>
      </c>
      <c r="H5" s="9" t="s">
        <v>1366</v>
      </c>
      <c r="I5" s="15">
        <v>76264578</v>
      </c>
      <c r="J5" s="16" t="s">
        <v>1367</v>
      </c>
      <c r="K5" s="17">
        <v>1</v>
      </c>
      <c r="L5" s="18" t="s">
        <v>21</v>
      </c>
      <c r="M5" s="19">
        <v>4086300</v>
      </c>
      <c r="N5" s="19">
        <v>0</v>
      </c>
      <c r="O5" s="19">
        <f t="shared" si="1"/>
        <v>4086300</v>
      </c>
      <c r="P5" s="17" t="s">
        <v>155</v>
      </c>
    </row>
  </sheetData>
  <dataValidations count="6">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B2 D2:I2">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la orden (Formato AAAA/MM/DD)." sqref="D3:E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5:E5">
      <formula1>1900/1/1</formula1>
      <formula2>3000/1/1</formula2>
    </dataValidation>
  </dataValidation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sqref="A1:P3"/>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1291</v>
      </c>
      <c r="B2" s="10">
        <v>61949</v>
      </c>
      <c r="C2" s="11" t="s">
        <v>2197</v>
      </c>
      <c r="D2" s="12">
        <v>44181</v>
      </c>
      <c r="E2" s="12">
        <v>44181</v>
      </c>
      <c r="F2" s="13">
        <v>45000000</v>
      </c>
      <c r="G2" s="14">
        <v>0</v>
      </c>
      <c r="H2" s="9" t="s">
        <v>401</v>
      </c>
      <c r="I2" s="15">
        <v>901211678</v>
      </c>
      <c r="J2" s="16" t="s">
        <v>2308</v>
      </c>
      <c r="K2" s="17">
        <v>3000</v>
      </c>
      <c r="L2" s="18" t="s">
        <v>21</v>
      </c>
      <c r="M2" s="19">
        <v>15000</v>
      </c>
      <c r="N2" s="19">
        <v>0</v>
      </c>
      <c r="O2" s="19">
        <f t="shared" ref="O2:O3" si="0">K2*(M2+N2)</f>
        <v>45000000</v>
      </c>
      <c r="P2" s="17" t="s">
        <v>2198</v>
      </c>
    </row>
    <row r="3" spans="1:16" x14ac:dyDescent="0.3">
      <c r="A3" s="9" t="s">
        <v>1291</v>
      </c>
      <c r="B3" s="10">
        <v>61951</v>
      </c>
      <c r="C3" s="11" t="s">
        <v>2199</v>
      </c>
      <c r="D3" s="12">
        <v>44181</v>
      </c>
      <c r="E3" s="12">
        <v>44181</v>
      </c>
      <c r="F3" s="13">
        <v>8000000</v>
      </c>
      <c r="G3" s="14">
        <v>0</v>
      </c>
      <c r="H3" s="9" t="s">
        <v>2200</v>
      </c>
      <c r="I3" s="15">
        <v>900442577</v>
      </c>
      <c r="J3" s="16" t="s">
        <v>2202</v>
      </c>
      <c r="K3" s="17">
        <v>400</v>
      </c>
      <c r="L3" s="18" t="s">
        <v>21</v>
      </c>
      <c r="M3" s="19">
        <v>20000</v>
      </c>
      <c r="N3" s="19">
        <v>0</v>
      </c>
      <c r="O3" s="19">
        <f t="shared" si="0"/>
        <v>8000000</v>
      </c>
      <c r="P3" s="17" t="s">
        <v>2198</v>
      </c>
    </row>
  </sheetData>
  <dataValidations count="1">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3">
      <formula1>0</formula1>
      <formula2>390</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selection sqref="A1:P24"/>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61</v>
      </c>
      <c r="C2" s="11" t="s">
        <v>62</v>
      </c>
      <c r="D2" s="12">
        <v>43985</v>
      </c>
      <c r="E2" s="12">
        <v>43985</v>
      </c>
      <c r="F2" s="13">
        <v>3379880</v>
      </c>
      <c r="G2" s="14">
        <v>0</v>
      </c>
      <c r="H2" s="9" t="s">
        <v>63</v>
      </c>
      <c r="I2" s="15">
        <v>890900943</v>
      </c>
      <c r="J2" s="16" t="s">
        <v>64</v>
      </c>
      <c r="K2" s="17">
        <v>7</v>
      </c>
      <c r="L2" s="18" t="s">
        <v>21</v>
      </c>
      <c r="M2" s="19">
        <v>405747.9</v>
      </c>
      <c r="N2" s="19">
        <f t="shared" ref="N2:N4" si="0">M2*0.19</f>
        <v>77092.10100000001</v>
      </c>
      <c r="O2" s="19">
        <f t="shared" ref="O2:O18" si="1">K2*(M2+N2)</f>
        <v>3379880.0070000002</v>
      </c>
      <c r="P2" s="17" t="s">
        <v>65</v>
      </c>
    </row>
    <row r="3" spans="1:16" x14ac:dyDescent="0.3">
      <c r="A3" s="9" t="s">
        <v>16</v>
      </c>
      <c r="B3" s="10" t="s">
        <v>76</v>
      </c>
      <c r="C3" s="11" t="s">
        <v>77</v>
      </c>
      <c r="D3" s="12">
        <v>44007</v>
      </c>
      <c r="E3" s="12">
        <v>44007</v>
      </c>
      <c r="F3" s="13">
        <v>1631000</v>
      </c>
      <c r="G3" s="14">
        <v>0</v>
      </c>
      <c r="H3" s="9" t="s">
        <v>63</v>
      </c>
      <c r="I3" s="15">
        <v>890900943</v>
      </c>
      <c r="J3" s="16" t="s">
        <v>78</v>
      </c>
      <c r="K3" s="17">
        <v>7</v>
      </c>
      <c r="L3" s="18" t="s">
        <v>21</v>
      </c>
      <c r="M3" s="19">
        <v>195798.32</v>
      </c>
      <c r="N3" s="19">
        <f t="shared" si="0"/>
        <v>37201.680800000002</v>
      </c>
      <c r="O3" s="19">
        <f t="shared" si="1"/>
        <v>1631000.0056</v>
      </c>
      <c r="P3" s="17" t="s">
        <v>65</v>
      </c>
    </row>
    <row r="4" spans="1:16" x14ac:dyDescent="0.3">
      <c r="A4" s="9" t="s">
        <v>138</v>
      </c>
      <c r="B4" s="10" t="s">
        <v>188</v>
      </c>
      <c r="C4" s="28" t="s">
        <v>189</v>
      </c>
      <c r="D4" s="12">
        <v>43990</v>
      </c>
      <c r="E4" s="12">
        <v>43992</v>
      </c>
      <c r="F4" s="13">
        <v>20349000</v>
      </c>
      <c r="G4" s="14">
        <v>0</v>
      </c>
      <c r="H4" s="9" t="s">
        <v>190</v>
      </c>
      <c r="I4" s="15">
        <v>901094895</v>
      </c>
      <c r="J4" s="16" t="s">
        <v>191</v>
      </c>
      <c r="K4" s="17">
        <v>18</v>
      </c>
      <c r="L4" s="29" t="s">
        <v>21</v>
      </c>
      <c r="M4" s="19">
        <v>950000</v>
      </c>
      <c r="N4" s="19">
        <f t="shared" si="0"/>
        <v>180500</v>
      </c>
      <c r="O4" s="19">
        <f t="shared" si="1"/>
        <v>20349000</v>
      </c>
      <c r="P4" s="17" t="s">
        <v>65</v>
      </c>
    </row>
    <row r="5" spans="1:16" x14ac:dyDescent="0.3">
      <c r="A5" s="9" t="s">
        <v>196</v>
      </c>
      <c r="B5" s="10" t="s">
        <v>188</v>
      </c>
      <c r="C5" s="11" t="s">
        <v>237</v>
      </c>
      <c r="D5" s="12">
        <v>43977</v>
      </c>
      <c r="E5" s="12">
        <v>43980</v>
      </c>
      <c r="F5" s="13">
        <v>66640000</v>
      </c>
      <c r="G5" s="14">
        <v>0</v>
      </c>
      <c r="H5" s="9" t="s">
        <v>238</v>
      </c>
      <c r="I5" s="15">
        <v>900491441</v>
      </c>
      <c r="J5" s="16" t="s">
        <v>239</v>
      </c>
      <c r="K5" s="17">
        <v>40</v>
      </c>
      <c r="L5" s="18" t="s">
        <v>21</v>
      </c>
      <c r="M5" s="19">
        <v>1400000</v>
      </c>
      <c r="N5" s="19">
        <f>M5*0.19</f>
        <v>266000</v>
      </c>
      <c r="O5" s="19">
        <f t="shared" si="1"/>
        <v>66640000</v>
      </c>
      <c r="P5" s="17" t="s">
        <v>65</v>
      </c>
    </row>
    <row r="6" spans="1:16" x14ac:dyDescent="0.3">
      <c r="A6" s="9" t="s">
        <v>196</v>
      </c>
      <c r="B6" s="10" t="s">
        <v>1989</v>
      </c>
      <c r="C6" s="11" t="s">
        <v>258</v>
      </c>
      <c r="D6" s="12">
        <v>44036</v>
      </c>
      <c r="E6" s="12">
        <v>44036</v>
      </c>
      <c r="F6" s="13">
        <v>84252000</v>
      </c>
      <c r="G6" s="14">
        <v>0</v>
      </c>
      <c r="H6" s="9" t="s">
        <v>251</v>
      </c>
      <c r="I6" s="15">
        <v>9001413756</v>
      </c>
      <c r="J6" s="16" t="s">
        <v>259</v>
      </c>
      <c r="K6" s="17">
        <v>59</v>
      </c>
      <c r="L6" s="18" t="s">
        <v>21</v>
      </c>
      <c r="M6" s="19">
        <v>1200000</v>
      </c>
      <c r="N6" s="19">
        <f>M6*0.19</f>
        <v>228000</v>
      </c>
      <c r="O6" s="19">
        <f t="shared" si="1"/>
        <v>84252000</v>
      </c>
      <c r="P6" s="17" t="s">
        <v>65</v>
      </c>
    </row>
    <row r="7" spans="1:16" x14ac:dyDescent="0.3">
      <c r="A7" s="9" t="s">
        <v>284</v>
      </c>
      <c r="B7" s="10" t="s">
        <v>344</v>
      </c>
      <c r="C7" s="11" t="s">
        <v>345</v>
      </c>
      <c r="D7" s="12">
        <v>43971</v>
      </c>
      <c r="E7" s="12">
        <v>43971</v>
      </c>
      <c r="F7" s="13">
        <v>7102970</v>
      </c>
      <c r="G7" s="14">
        <v>0</v>
      </c>
      <c r="H7" s="9" t="s">
        <v>346</v>
      </c>
      <c r="I7" s="15">
        <v>890900943</v>
      </c>
      <c r="J7" s="16" t="s">
        <v>347</v>
      </c>
      <c r="K7" s="17">
        <v>5</v>
      </c>
      <c r="L7" s="18" t="s">
        <v>21</v>
      </c>
      <c r="M7" s="19">
        <v>1193776.4705882354</v>
      </c>
      <c r="N7" s="19">
        <f t="shared" ref="N7:N10" si="2">M7*0.19</f>
        <v>226817.52941176473</v>
      </c>
      <c r="O7" s="19">
        <f t="shared" si="1"/>
        <v>7102970.0000000009</v>
      </c>
      <c r="P7" s="17" t="s">
        <v>65</v>
      </c>
    </row>
    <row r="8" spans="1:16" x14ac:dyDescent="0.3">
      <c r="A8" s="9" t="s">
        <v>402</v>
      </c>
      <c r="B8" s="10" t="s">
        <v>177</v>
      </c>
      <c r="C8" s="11" t="s">
        <v>445</v>
      </c>
      <c r="D8" s="12">
        <v>43990</v>
      </c>
      <c r="E8" s="12">
        <v>43991</v>
      </c>
      <c r="F8" s="13">
        <v>9282000</v>
      </c>
      <c r="G8" s="14">
        <v>0</v>
      </c>
      <c r="H8" s="9" t="s">
        <v>446</v>
      </c>
      <c r="I8" s="15">
        <v>900372268</v>
      </c>
      <c r="J8" s="16" t="s">
        <v>447</v>
      </c>
      <c r="K8" s="17">
        <v>13</v>
      </c>
      <c r="L8" s="18" t="s">
        <v>21</v>
      </c>
      <c r="M8" s="19">
        <v>600000</v>
      </c>
      <c r="N8" s="19">
        <f t="shared" si="2"/>
        <v>114000</v>
      </c>
      <c r="O8" s="19">
        <f t="shared" si="1"/>
        <v>9282000</v>
      </c>
      <c r="P8" s="17" t="s">
        <v>65</v>
      </c>
    </row>
    <row r="9" spans="1:16" x14ac:dyDescent="0.3">
      <c r="A9" s="9" t="s">
        <v>558</v>
      </c>
      <c r="B9" s="10" t="s">
        <v>585</v>
      </c>
      <c r="C9" s="11" t="s">
        <v>586</v>
      </c>
      <c r="D9" s="12">
        <v>43977</v>
      </c>
      <c r="E9" s="12">
        <v>43978</v>
      </c>
      <c r="F9" s="13">
        <v>18549720</v>
      </c>
      <c r="G9" s="14">
        <v>0</v>
      </c>
      <c r="H9" s="9" t="s">
        <v>587</v>
      </c>
      <c r="I9" s="15">
        <v>1090509490</v>
      </c>
      <c r="J9" s="16" t="s">
        <v>588</v>
      </c>
      <c r="K9" s="17">
        <v>2</v>
      </c>
      <c r="L9" s="18" t="s">
        <v>21</v>
      </c>
      <c r="M9" s="19">
        <v>1522500</v>
      </c>
      <c r="N9" s="19">
        <f t="shared" si="2"/>
        <v>289275</v>
      </c>
      <c r="O9" s="19">
        <f t="shared" si="1"/>
        <v>3623550</v>
      </c>
      <c r="P9" s="17" t="s">
        <v>65</v>
      </c>
    </row>
    <row r="10" spans="1:16" x14ac:dyDescent="0.3">
      <c r="A10" s="9" t="s">
        <v>558</v>
      </c>
      <c r="B10" s="10" t="s">
        <v>585</v>
      </c>
      <c r="C10" s="11" t="s">
        <v>586</v>
      </c>
      <c r="D10" s="12">
        <v>43977</v>
      </c>
      <c r="E10" s="12">
        <v>43978</v>
      </c>
      <c r="F10" s="13">
        <v>18549720</v>
      </c>
      <c r="G10" s="14">
        <v>0</v>
      </c>
      <c r="H10" s="9" t="s">
        <v>587</v>
      </c>
      <c r="I10" s="15">
        <v>1090509490</v>
      </c>
      <c r="J10" s="16" t="s">
        <v>589</v>
      </c>
      <c r="K10" s="17">
        <v>6</v>
      </c>
      <c r="L10" s="18" t="s">
        <v>21</v>
      </c>
      <c r="M10" s="19">
        <v>758000</v>
      </c>
      <c r="N10" s="19">
        <f t="shared" si="2"/>
        <v>144020</v>
      </c>
      <c r="O10" s="19">
        <f t="shared" si="1"/>
        <v>5412120</v>
      </c>
      <c r="P10" s="17" t="s">
        <v>65</v>
      </c>
    </row>
    <row r="11" spans="1:16" x14ac:dyDescent="0.3">
      <c r="A11" s="9" t="s">
        <v>657</v>
      </c>
      <c r="B11" s="10" t="s">
        <v>662</v>
      </c>
      <c r="C11" s="11" t="s">
        <v>663</v>
      </c>
      <c r="D11" s="12">
        <v>43963</v>
      </c>
      <c r="E11" s="12">
        <v>43963</v>
      </c>
      <c r="F11" s="13">
        <v>166018725</v>
      </c>
      <c r="G11" s="14">
        <v>0</v>
      </c>
      <c r="H11" s="9" t="s">
        <v>660</v>
      </c>
      <c r="I11" s="15">
        <v>813005241</v>
      </c>
      <c r="J11" s="16" t="s">
        <v>669</v>
      </c>
      <c r="K11" s="17">
        <v>17</v>
      </c>
      <c r="L11" s="18" t="s">
        <v>21</v>
      </c>
      <c r="M11" s="19">
        <v>2168067.23</v>
      </c>
      <c r="N11" s="19">
        <f>M11*0.19</f>
        <v>411932.77370000002</v>
      </c>
      <c r="O11" s="19">
        <f t="shared" si="1"/>
        <v>43860000.062900007</v>
      </c>
      <c r="P11" s="17" t="s">
        <v>65</v>
      </c>
    </row>
    <row r="12" spans="1:16" x14ac:dyDescent="0.3">
      <c r="A12" s="9" t="s">
        <v>657</v>
      </c>
      <c r="B12" s="10" t="s">
        <v>2032</v>
      </c>
      <c r="C12" s="11" t="s">
        <v>1797</v>
      </c>
      <c r="D12" s="12">
        <v>44159</v>
      </c>
      <c r="E12" s="12">
        <v>44159</v>
      </c>
      <c r="F12" s="13">
        <v>2242730</v>
      </c>
      <c r="G12" s="14">
        <v>0</v>
      </c>
      <c r="H12" s="9" t="s">
        <v>356</v>
      </c>
      <c r="I12" s="15">
        <v>900300970</v>
      </c>
      <c r="J12" s="16" t="s">
        <v>669</v>
      </c>
      <c r="K12" s="17">
        <v>3</v>
      </c>
      <c r="L12" s="18" t="s">
        <v>21</v>
      </c>
      <c r="M12" s="19">
        <v>589000</v>
      </c>
      <c r="N12" s="19">
        <f>M12*0.19</f>
        <v>111910</v>
      </c>
      <c r="O12" s="19">
        <f t="shared" si="1"/>
        <v>2102730</v>
      </c>
      <c r="P12" s="17" t="s">
        <v>65</v>
      </c>
    </row>
    <row r="13" spans="1:16" x14ac:dyDescent="0.3">
      <c r="A13" s="9" t="s">
        <v>690</v>
      </c>
      <c r="B13" s="10" t="s">
        <v>735</v>
      </c>
      <c r="C13" s="11" t="s">
        <v>736</v>
      </c>
      <c r="D13" s="12">
        <v>43978</v>
      </c>
      <c r="E13" s="12">
        <v>43978</v>
      </c>
      <c r="F13" s="13">
        <v>17372810</v>
      </c>
      <c r="G13" s="14">
        <v>0</v>
      </c>
      <c r="H13" s="9" t="s">
        <v>737</v>
      </c>
      <c r="I13" s="15">
        <v>900990752</v>
      </c>
      <c r="J13" s="16" t="s">
        <v>736</v>
      </c>
      <c r="K13" s="17">
        <v>13</v>
      </c>
      <c r="L13" s="18" t="s">
        <v>21</v>
      </c>
      <c r="M13" s="19">
        <v>1123000</v>
      </c>
      <c r="N13" s="19">
        <f>M13*0.19</f>
        <v>213370</v>
      </c>
      <c r="O13" s="19">
        <f t="shared" si="1"/>
        <v>17372810</v>
      </c>
      <c r="P13" s="17" t="s">
        <v>65</v>
      </c>
    </row>
    <row r="14" spans="1:16" x14ac:dyDescent="0.3">
      <c r="A14" s="9" t="s">
        <v>861</v>
      </c>
      <c r="B14" s="10" t="s">
        <v>914</v>
      </c>
      <c r="C14" s="11" t="s">
        <v>915</v>
      </c>
      <c r="D14" s="12">
        <v>43986</v>
      </c>
      <c r="E14" s="12">
        <v>43986</v>
      </c>
      <c r="F14" s="13">
        <v>39927000</v>
      </c>
      <c r="G14" s="14">
        <v>0</v>
      </c>
      <c r="H14" s="9" t="s">
        <v>916</v>
      </c>
      <c r="I14" s="15">
        <v>901031972</v>
      </c>
      <c r="J14" s="16" t="s">
        <v>918</v>
      </c>
      <c r="K14" s="17">
        <v>3</v>
      </c>
      <c r="L14" s="18" t="s">
        <v>21</v>
      </c>
      <c r="M14" s="19">
        <v>1100000</v>
      </c>
      <c r="N14" s="19">
        <f t="shared" ref="N14:N17" si="3">M14*0.19</f>
        <v>209000</v>
      </c>
      <c r="O14" s="19">
        <f t="shared" si="1"/>
        <v>3927000</v>
      </c>
      <c r="P14" s="17" t="s">
        <v>65</v>
      </c>
    </row>
    <row r="15" spans="1:16" x14ac:dyDescent="0.3">
      <c r="A15" s="9" t="s">
        <v>861</v>
      </c>
      <c r="B15" s="10" t="s">
        <v>1000</v>
      </c>
      <c r="C15" s="11" t="s">
        <v>1816</v>
      </c>
      <c r="D15" s="12">
        <v>44180</v>
      </c>
      <c r="E15" s="12">
        <v>44181</v>
      </c>
      <c r="F15" s="13">
        <v>24955000</v>
      </c>
      <c r="G15" s="14">
        <v>0</v>
      </c>
      <c r="H15" s="9" t="s">
        <v>1001</v>
      </c>
      <c r="I15" s="15" t="s">
        <v>1002</v>
      </c>
      <c r="J15" s="16" t="s">
        <v>1004</v>
      </c>
      <c r="K15" s="17">
        <v>20</v>
      </c>
      <c r="L15" s="18" t="s">
        <v>21</v>
      </c>
      <c r="M15" s="19">
        <v>823529</v>
      </c>
      <c r="N15" s="19">
        <f t="shared" si="3"/>
        <v>156470.51</v>
      </c>
      <c r="O15" s="19">
        <f t="shared" si="1"/>
        <v>19599990.199999999</v>
      </c>
      <c r="P15" s="17" t="s">
        <v>65</v>
      </c>
    </row>
    <row r="16" spans="1:16" x14ac:dyDescent="0.3">
      <c r="A16" s="9" t="s">
        <v>1006</v>
      </c>
      <c r="B16" s="10" t="s">
        <v>1011</v>
      </c>
      <c r="C16" s="11" t="s">
        <v>1008</v>
      </c>
      <c r="D16" s="12">
        <v>43910</v>
      </c>
      <c r="E16" s="12">
        <v>43920</v>
      </c>
      <c r="F16" s="13">
        <v>20230000</v>
      </c>
      <c r="G16" s="14">
        <v>0</v>
      </c>
      <c r="H16" s="9" t="s">
        <v>1012</v>
      </c>
      <c r="I16" s="15">
        <v>51684220</v>
      </c>
      <c r="J16" s="16" t="s">
        <v>1881</v>
      </c>
      <c r="K16" s="17">
        <v>10</v>
      </c>
      <c r="L16" s="18" t="s">
        <v>21</v>
      </c>
      <c r="M16" s="19">
        <v>1700000</v>
      </c>
      <c r="N16" s="19">
        <f t="shared" si="3"/>
        <v>323000</v>
      </c>
      <c r="O16" s="19">
        <f t="shared" si="1"/>
        <v>20230000</v>
      </c>
      <c r="P16" s="17" t="s">
        <v>65</v>
      </c>
    </row>
    <row r="17" spans="1:16" x14ac:dyDescent="0.3">
      <c r="A17" s="9" t="s">
        <v>1006</v>
      </c>
      <c r="B17" s="10" t="s">
        <v>1026</v>
      </c>
      <c r="C17" s="11" t="s">
        <v>1022</v>
      </c>
      <c r="D17" s="12">
        <v>43973</v>
      </c>
      <c r="E17" s="12">
        <v>43978</v>
      </c>
      <c r="F17" s="13">
        <v>9978900</v>
      </c>
      <c r="G17" s="14">
        <v>0</v>
      </c>
      <c r="H17" s="9" t="s">
        <v>1027</v>
      </c>
      <c r="I17" s="15">
        <v>900347045</v>
      </c>
      <c r="J17" s="16" t="s">
        <v>1890</v>
      </c>
      <c r="K17" s="17">
        <v>6</v>
      </c>
      <c r="L17" s="18" t="s">
        <v>21</v>
      </c>
      <c r="M17" s="19">
        <v>1085000</v>
      </c>
      <c r="N17" s="19">
        <f t="shared" si="3"/>
        <v>206150</v>
      </c>
      <c r="O17" s="19">
        <f t="shared" si="1"/>
        <v>7746900</v>
      </c>
      <c r="P17" s="17" t="s">
        <v>65</v>
      </c>
    </row>
    <row r="18" spans="1:16" x14ac:dyDescent="0.3">
      <c r="A18" s="9" t="s">
        <v>1091</v>
      </c>
      <c r="B18" s="10" t="s">
        <v>2052</v>
      </c>
      <c r="C18" s="11" t="s">
        <v>1144</v>
      </c>
      <c r="D18" s="12">
        <v>43993</v>
      </c>
      <c r="E18" s="12">
        <v>43994</v>
      </c>
      <c r="F18" s="13">
        <v>32534320</v>
      </c>
      <c r="G18" s="14">
        <v>0</v>
      </c>
      <c r="H18" s="9" t="s">
        <v>1145</v>
      </c>
      <c r="I18" s="15">
        <v>900990752</v>
      </c>
      <c r="J18" s="16" t="s">
        <v>1146</v>
      </c>
      <c r="K18" s="17">
        <v>26</v>
      </c>
      <c r="L18" s="18" t="s">
        <v>21</v>
      </c>
      <c r="M18" s="19">
        <v>1251320</v>
      </c>
      <c r="N18" s="19">
        <v>0</v>
      </c>
      <c r="O18" s="19">
        <f t="shared" si="1"/>
        <v>32534320</v>
      </c>
      <c r="P18" s="17" t="s">
        <v>65</v>
      </c>
    </row>
    <row r="19" spans="1:16" x14ac:dyDescent="0.3">
      <c r="A19" s="9" t="s">
        <v>1291</v>
      </c>
      <c r="B19" s="10">
        <v>49697</v>
      </c>
      <c r="C19" s="11" t="s">
        <v>2302</v>
      </c>
      <c r="D19" s="12">
        <v>43984</v>
      </c>
      <c r="E19" s="12">
        <v>43984</v>
      </c>
      <c r="F19" s="13">
        <v>59664948</v>
      </c>
      <c r="G19" s="14">
        <v>0</v>
      </c>
      <c r="H19" s="9" t="s">
        <v>346</v>
      </c>
      <c r="I19" s="15">
        <v>890900943</v>
      </c>
      <c r="J19" s="16" t="s">
        <v>2302</v>
      </c>
      <c r="K19" s="17">
        <v>42</v>
      </c>
      <c r="L19" s="18" t="s">
        <v>21</v>
      </c>
      <c r="M19" s="19">
        <v>1420594</v>
      </c>
      <c r="N19" s="19">
        <v>0</v>
      </c>
      <c r="O19" s="19">
        <f>K19*(M19+N19)</f>
        <v>59664948</v>
      </c>
      <c r="P19" s="17" t="s">
        <v>65</v>
      </c>
    </row>
    <row r="20" spans="1:16" x14ac:dyDescent="0.3">
      <c r="A20" s="9" t="s">
        <v>1306</v>
      </c>
      <c r="B20" s="10" t="s">
        <v>2065</v>
      </c>
      <c r="C20" s="11" t="s">
        <v>1818</v>
      </c>
      <c r="D20" s="12">
        <v>43984</v>
      </c>
      <c r="E20" s="12">
        <v>43984</v>
      </c>
      <c r="F20" s="13">
        <v>7696200</v>
      </c>
      <c r="G20" s="14">
        <v>0</v>
      </c>
      <c r="H20" s="9" t="s">
        <v>172</v>
      </c>
      <c r="I20" s="15">
        <v>900155107</v>
      </c>
      <c r="J20" s="16" t="s">
        <v>1005</v>
      </c>
      <c r="K20" s="17">
        <v>3</v>
      </c>
      <c r="L20" s="18" t="s">
        <v>21</v>
      </c>
      <c r="M20" s="19">
        <v>2565400</v>
      </c>
      <c r="N20" s="19">
        <v>0</v>
      </c>
      <c r="O20" s="19">
        <f t="shared" ref="O20:O24" si="4">K20*(M20+N20)</f>
        <v>7696200</v>
      </c>
      <c r="P20" s="17" t="s">
        <v>65</v>
      </c>
    </row>
    <row r="21" spans="1:16" x14ac:dyDescent="0.3">
      <c r="A21" s="9" t="s">
        <v>1306</v>
      </c>
      <c r="B21" s="10" t="s">
        <v>2069</v>
      </c>
      <c r="C21" s="11" t="s">
        <v>1818</v>
      </c>
      <c r="D21" s="12">
        <v>44035</v>
      </c>
      <c r="E21" s="12">
        <v>44035</v>
      </c>
      <c r="F21" s="13">
        <v>2359000</v>
      </c>
      <c r="G21" s="14">
        <v>0</v>
      </c>
      <c r="H21" s="9" t="s">
        <v>172</v>
      </c>
      <c r="I21" s="15">
        <v>900155107</v>
      </c>
      <c r="J21" s="16" t="s">
        <v>1379</v>
      </c>
      <c r="K21" s="17">
        <v>1</v>
      </c>
      <c r="L21" s="18" t="s">
        <v>21</v>
      </c>
      <c r="M21" s="19">
        <v>2359000</v>
      </c>
      <c r="N21" s="19">
        <v>0</v>
      </c>
      <c r="O21" s="19">
        <f t="shared" si="4"/>
        <v>2359000</v>
      </c>
      <c r="P21" s="17" t="s">
        <v>65</v>
      </c>
    </row>
    <row r="22" spans="1:16" x14ac:dyDescent="0.3">
      <c r="A22" s="9" t="s">
        <v>1306</v>
      </c>
      <c r="B22" s="10" t="s">
        <v>1414</v>
      </c>
      <c r="C22" s="11" t="s">
        <v>1415</v>
      </c>
      <c r="D22" s="12">
        <v>44174</v>
      </c>
      <c r="E22" s="12">
        <v>44174</v>
      </c>
      <c r="F22" s="13">
        <v>8787100</v>
      </c>
      <c r="G22" s="14">
        <v>0</v>
      </c>
      <c r="H22" s="9" t="s">
        <v>356</v>
      </c>
      <c r="I22" s="15" t="s">
        <v>1416</v>
      </c>
      <c r="J22" s="16" t="s">
        <v>1926</v>
      </c>
      <c r="K22" s="17">
        <v>12</v>
      </c>
      <c r="L22" s="18" t="s">
        <v>21</v>
      </c>
      <c r="M22" s="19">
        <v>573326.33053221297</v>
      </c>
      <c r="N22" s="19">
        <f>M22*0.19</f>
        <v>108932.00280112047</v>
      </c>
      <c r="O22" s="19">
        <f t="shared" si="4"/>
        <v>8187100.0000000019</v>
      </c>
      <c r="P22" s="17" t="s">
        <v>65</v>
      </c>
    </row>
    <row r="23" spans="1:16" x14ac:dyDescent="0.3">
      <c r="A23" s="9" t="s">
        <v>1437</v>
      </c>
      <c r="B23" s="10" t="s">
        <v>2076</v>
      </c>
      <c r="C23" s="11" t="s">
        <v>1826</v>
      </c>
      <c r="D23" s="12">
        <v>44155</v>
      </c>
      <c r="E23" s="12">
        <v>44155</v>
      </c>
      <c r="F23" s="13">
        <v>6003591.8200000003</v>
      </c>
      <c r="G23" s="14">
        <v>0</v>
      </c>
      <c r="H23" s="9" t="s">
        <v>1466</v>
      </c>
      <c r="I23" s="15" t="s">
        <v>1467</v>
      </c>
      <c r="J23" s="16" t="s">
        <v>1468</v>
      </c>
      <c r="K23" s="17">
        <v>8</v>
      </c>
      <c r="L23" s="18" t="s">
        <v>21</v>
      </c>
      <c r="M23" s="19">
        <v>638775.5</v>
      </c>
      <c r="N23" s="19">
        <f t="shared" ref="N23" si="5">M23*0.19</f>
        <v>121367.345</v>
      </c>
      <c r="O23" s="19">
        <f t="shared" si="4"/>
        <v>6081142.7599999998</v>
      </c>
      <c r="P23" s="17" t="s">
        <v>65</v>
      </c>
    </row>
    <row r="24" spans="1:16" x14ac:dyDescent="0.3">
      <c r="A24" s="9" t="s">
        <v>1472</v>
      </c>
      <c r="B24" s="10" t="s">
        <v>1510</v>
      </c>
      <c r="C24" s="11" t="s">
        <v>1511</v>
      </c>
      <c r="D24" s="12">
        <v>44001</v>
      </c>
      <c r="E24" s="12">
        <v>44001</v>
      </c>
      <c r="F24" s="13">
        <v>36300000</v>
      </c>
      <c r="G24" s="14">
        <v>0</v>
      </c>
      <c r="H24" s="9" t="s">
        <v>1512</v>
      </c>
      <c r="I24" s="15">
        <v>92501255</v>
      </c>
      <c r="J24" s="16" t="s">
        <v>1513</v>
      </c>
      <c r="K24" s="17">
        <v>22</v>
      </c>
      <c r="L24" s="18" t="s">
        <v>21</v>
      </c>
      <c r="M24" s="19">
        <v>1650000</v>
      </c>
      <c r="N24" s="19">
        <v>0</v>
      </c>
      <c r="O24" s="19">
        <f t="shared" si="4"/>
        <v>36300000</v>
      </c>
      <c r="P24" s="17" t="s">
        <v>65</v>
      </c>
    </row>
  </sheetData>
  <dataValidations count="12">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14 A2:A3 D4:I4 E5:E10 E17 A4:B4 E2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14 F5:F10 F17 F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7:A16 A24">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9:I10 I5:I7 I17 I23">
      <formula1>-999999999</formula1>
      <formula2>999999999</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6:D10 D14 D17 D21:E21 D23:D2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6:H10 H15:H17 H22:H2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6:B10 B14:B17 B23:B24">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8 I14">
      <formula1>-99999999999</formula1>
      <formula2>99999999999</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1:G13 G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12">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13:E13 D15:E16 D18:E18 D20:E2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15:F16 F22">
      <formula1>-9223372036854770000</formula1>
      <formula2>9223372036854770000</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topLeftCell="J1" workbookViewId="0">
      <selection sqref="A1:P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1472</v>
      </c>
      <c r="B2" s="10" t="s">
        <v>1523</v>
      </c>
      <c r="C2" s="11" t="s">
        <v>1524</v>
      </c>
      <c r="D2" s="12">
        <v>44022</v>
      </c>
      <c r="E2" s="12">
        <v>44025</v>
      </c>
      <c r="F2" s="13">
        <v>140991200</v>
      </c>
      <c r="G2" s="14">
        <v>0</v>
      </c>
      <c r="H2" s="9" t="s">
        <v>1525</v>
      </c>
      <c r="I2" s="15">
        <v>900564459</v>
      </c>
      <c r="J2" s="16" t="s">
        <v>1937</v>
      </c>
      <c r="K2" s="17">
        <v>8</v>
      </c>
      <c r="L2" s="18" t="s">
        <v>21</v>
      </c>
      <c r="M2" s="19">
        <v>800000</v>
      </c>
      <c r="N2" s="19">
        <v>152000</v>
      </c>
      <c r="O2" s="19">
        <v>7616000</v>
      </c>
      <c r="P2" s="17" t="s">
        <v>1527</v>
      </c>
    </row>
  </sheetData>
  <dataValidations count="5">
    <dataValidation type="date" allowBlank="1" showInputMessage="1" errorTitle="Entrada no válida" error="Por favor escriba una fecha válida (AAAA/MM/DD)" promptTitle="Ingrese una fecha (AAAA/MM/DD)" prompt=" Registre la fecha en la cual se SUSCRIBIÓ el contrato  (Formato AAAA/MM/DD)." sqref="D2">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formula1>0</formula1>
      <formula2>390</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topLeftCell="I1" workbookViewId="0">
      <selection sqref="A1:P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196</v>
      </c>
      <c r="B2" s="10" t="s">
        <v>211</v>
      </c>
      <c r="C2" s="11" t="s">
        <v>212</v>
      </c>
      <c r="D2" s="12">
        <v>43924</v>
      </c>
      <c r="E2" s="12">
        <v>43927</v>
      </c>
      <c r="F2" s="13">
        <v>298166400</v>
      </c>
      <c r="G2" s="14">
        <v>0</v>
      </c>
      <c r="H2" s="9" t="s">
        <v>213</v>
      </c>
      <c r="I2" s="15">
        <v>900594755</v>
      </c>
      <c r="J2" s="16" t="s">
        <v>216</v>
      </c>
      <c r="K2" s="17">
        <v>58</v>
      </c>
      <c r="L2" s="18" t="s">
        <v>21</v>
      </c>
      <c r="M2" s="19">
        <v>1340000</v>
      </c>
      <c r="N2" s="19">
        <v>254600</v>
      </c>
      <c r="O2" s="19">
        <v>92486800</v>
      </c>
      <c r="P2" s="17" t="s">
        <v>217</v>
      </c>
    </row>
  </sheetData>
  <dataValidations count="7">
    <dataValidation type="date" allowBlank="1" showInputMessage="1" errorTitle="Entrada no válida" error="Por favor escriba una fecha válida (AAAA/MM/DD)" promptTitle="Ingrese una fecha (AAAA/MM/DD)" prompt=" Registre la fecha en la cual se SUSCRIBIÓ el contrato  (Formato AAAA/MM/DD)." sqref="D2">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2">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formula1>0</formula1>
      <formula2>390</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sqref="A1:P2"/>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472</v>
      </c>
      <c r="B2" s="10" t="s">
        <v>554</v>
      </c>
      <c r="C2" s="11" t="s">
        <v>1788</v>
      </c>
      <c r="D2" s="12">
        <v>44193</v>
      </c>
      <c r="E2" s="12">
        <v>44195</v>
      </c>
      <c r="F2" s="13">
        <v>950000</v>
      </c>
      <c r="G2" s="14">
        <v>0</v>
      </c>
      <c r="H2" s="9" t="s">
        <v>555</v>
      </c>
      <c r="I2" s="15" t="s">
        <v>556</v>
      </c>
      <c r="J2" s="16" t="s">
        <v>557</v>
      </c>
      <c r="K2" s="17">
        <v>1</v>
      </c>
      <c r="L2" s="18" t="s">
        <v>549</v>
      </c>
      <c r="M2" s="19">
        <v>798319.32773109246</v>
      </c>
      <c r="N2" s="19">
        <f>M2*0.19</f>
        <v>151680.67226890757</v>
      </c>
      <c r="O2" s="19">
        <f t="shared" ref="O2" si="0">K2*(M2+N2)</f>
        <v>950000</v>
      </c>
      <c r="P2" s="17" t="s">
        <v>557</v>
      </c>
    </row>
  </sheetData>
  <dataValidations count="1">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sqref="A1:P3"/>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861</v>
      </c>
      <c r="B2" s="10" t="s">
        <v>862</v>
      </c>
      <c r="C2" s="11" t="s">
        <v>863</v>
      </c>
      <c r="D2" s="12" t="s">
        <v>864</v>
      </c>
      <c r="E2" s="12" t="s">
        <v>864</v>
      </c>
      <c r="F2" s="13">
        <v>21078782</v>
      </c>
      <c r="G2" s="14">
        <v>0</v>
      </c>
      <c r="H2" s="9" t="s">
        <v>865</v>
      </c>
      <c r="I2" s="15">
        <v>900406714</v>
      </c>
      <c r="J2" s="16" t="s">
        <v>879</v>
      </c>
      <c r="K2" s="17">
        <v>2400</v>
      </c>
      <c r="L2" s="18" t="s">
        <v>21</v>
      </c>
      <c r="M2" s="19">
        <v>578.22</v>
      </c>
      <c r="N2" s="19">
        <f t="shared" ref="N2" si="0">M2*0.19</f>
        <v>109.8618</v>
      </c>
      <c r="O2" s="19">
        <f t="shared" ref="O2:O3" si="1">K2*(M2+N2)</f>
        <v>1651396.32</v>
      </c>
      <c r="P2" s="17" t="s">
        <v>880</v>
      </c>
    </row>
    <row r="3" spans="1:16" x14ac:dyDescent="0.3">
      <c r="A3" s="9" t="s">
        <v>1306</v>
      </c>
      <c r="B3" s="10" t="s">
        <v>1423</v>
      </c>
      <c r="C3" s="11" t="s">
        <v>1424</v>
      </c>
      <c r="D3" s="12">
        <v>44179</v>
      </c>
      <c r="E3" s="12">
        <v>44179</v>
      </c>
      <c r="F3" s="13">
        <v>2055310</v>
      </c>
      <c r="G3" s="14">
        <v>0</v>
      </c>
      <c r="H3" s="9" t="s">
        <v>356</v>
      </c>
      <c r="I3" s="15" t="s">
        <v>1416</v>
      </c>
      <c r="J3" s="16" t="s">
        <v>1929</v>
      </c>
      <c r="K3" s="17">
        <v>1000</v>
      </c>
      <c r="L3" s="18" t="s">
        <v>21</v>
      </c>
      <c r="M3" s="19">
        <v>1349</v>
      </c>
      <c r="N3" s="19">
        <f>M3*0.19</f>
        <v>256.31</v>
      </c>
      <c r="O3" s="19">
        <f t="shared" si="1"/>
        <v>1605310</v>
      </c>
      <c r="P3" s="17" t="s">
        <v>880</v>
      </c>
    </row>
  </sheetData>
  <dataValidations count="8">
    <dataValidation type="date" allowBlank="1" showInputMessage="1" errorTitle="Entrada no válida" error="Por favor escriba una fecha válida (AAAA/MM/DD)" promptTitle="Ingrese una fecha (AAAA/MM/DD)" prompt=" Registre la fecha en la cual se SUSCRIBIÓ el contrato  (Formato AAAA/MM/DD)." sqref="D2">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2">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H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3">
      <formula1>-9223372036854770000</formula1>
      <formula2>9223372036854770000</formula2>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sqref="A1:P3"/>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196</v>
      </c>
      <c r="B2" s="10" t="s">
        <v>203</v>
      </c>
      <c r="C2" s="11" t="s">
        <v>204</v>
      </c>
      <c r="D2" s="12">
        <v>43916</v>
      </c>
      <c r="E2" s="12">
        <v>43920</v>
      </c>
      <c r="F2" s="13">
        <v>219927500</v>
      </c>
      <c r="G2" s="14">
        <v>0</v>
      </c>
      <c r="H2" s="9" t="s">
        <v>205</v>
      </c>
      <c r="I2" s="15">
        <v>900521780</v>
      </c>
      <c r="J2" s="16" t="s">
        <v>208</v>
      </c>
      <c r="K2" s="17">
        <v>2050</v>
      </c>
      <c r="L2" s="18" t="s">
        <v>53</v>
      </c>
      <c r="M2" s="19">
        <v>1300</v>
      </c>
      <c r="N2" s="19">
        <v>0</v>
      </c>
      <c r="O2" s="19">
        <v>2665000</v>
      </c>
      <c r="P2" s="17" t="s">
        <v>209</v>
      </c>
    </row>
    <row r="3" spans="1:16" x14ac:dyDescent="0.3">
      <c r="A3" s="9" t="s">
        <v>861</v>
      </c>
      <c r="B3" s="10" t="s">
        <v>862</v>
      </c>
      <c r="C3" s="11" t="s">
        <v>863</v>
      </c>
      <c r="D3" s="12" t="s">
        <v>864</v>
      </c>
      <c r="E3" s="12" t="s">
        <v>864</v>
      </c>
      <c r="F3" s="13">
        <v>21078782</v>
      </c>
      <c r="G3" s="14">
        <v>0</v>
      </c>
      <c r="H3" s="9" t="s">
        <v>865</v>
      </c>
      <c r="I3" s="15">
        <v>900406714</v>
      </c>
      <c r="J3" s="16" t="s">
        <v>876</v>
      </c>
      <c r="K3" s="17">
        <v>1200</v>
      </c>
      <c r="L3" s="18" t="s">
        <v>53</v>
      </c>
      <c r="M3" s="19">
        <v>1284.4166666666667</v>
      </c>
      <c r="N3" s="19">
        <v>244.03916666666669</v>
      </c>
      <c r="O3" s="19">
        <v>1834147</v>
      </c>
      <c r="P3" s="17" t="s">
        <v>209</v>
      </c>
    </row>
  </sheetData>
  <dataValidations count="7">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2:E2 E3">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
      <formula1>0</formula1>
      <formula2>390</formula2>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topLeftCell="J1" workbookViewId="0">
      <selection sqref="A1:P2"/>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1472</v>
      </c>
      <c r="B2" s="10" t="s">
        <v>1523</v>
      </c>
      <c r="C2" s="11" t="s">
        <v>1524</v>
      </c>
      <c r="D2" s="12">
        <v>44022</v>
      </c>
      <c r="E2" s="12">
        <v>44025</v>
      </c>
      <c r="F2" s="13">
        <v>140991200</v>
      </c>
      <c r="G2" s="14">
        <v>0</v>
      </c>
      <c r="H2" s="9" t="s">
        <v>1525</v>
      </c>
      <c r="I2" s="15">
        <v>900564459</v>
      </c>
      <c r="J2" s="16" t="s">
        <v>1936</v>
      </c>
      <c r="K2" s="17">
        <v>300</v>
      </c>
      <c r="L2" s="18" t="s">
        <v>24</v>
      </c>
      <c r="M2" s="19">
        <v>43600</v>
      </c>
      <c r="N2" s="19">
        <v>8284</v>
      </c>
      <c r="O2" s="19">
        <v>15565200</v>
      </c>
      <c r="P2" s="17" t="s">
        <v>1526</v>
      </c>
    </row>
  </sheetData>
  <dataValidations count="5">
    <dataValidation type="date" allowBlank="1" showInputMessage="1" errorTitle="Entrada no válida" error="Por favor escriba una fecha válida (AAAA/MM/DD)" promptTitle="Ingrese una fecha (AAAA/MM/DD)" prompt=" Registre la fecha en la cual se SUSCRIBIÓ el contrato  (Formato AAAA/MM/DD)." sqref="D2">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formula1>0</formula1>
      <formula2>390</formula2>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
  <sheetViews>
    <sheetView workbookViewId="0">
      <selection sqref="A1:P11"/>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284</v>
      </c>
      <c r="B2" s="10" t="s">
        <v>330</v>
      </c>
      <c r="C2" s="11" t="s">
        <v>331</v>
      </c>
      <c r="D2" s="12">
        <v>43963</v>
      </c>
      <c r="E2" s="12">
        <v>43963</v>
      </c>
      <c r="F2" s="13">
        <v>1142400</v>
      </c>
      <c r="G2" s="14">
        <v>0</v>
      </c>
      <c r="H2" s="9" t="s">
        <v>332</v>
      </c>
      <c r="I2" s="15">
        <v>830037946</v>
      </c>
      <c r="J2" s="16" t="s">
        <v>333</v>
      </c>
      <c r="K2" s="17">
        <v>100</v>
      </c>
      <c r="L2" s="18" t="s">
        <v>21</v>
      </c>
      <c r="M2" s="19">
        <v>9600</v>
      </c>
      <c r="N2" s="19">
        <f t="shared" ref="N2" si="0">M2*0.19</f>
        <v>1824</v>
      </c>
      <c r="O2" s="19">
        <f t="shared" ref="O2:O11" si="1">K2*(M2+N2)</f>
        <v>1142400</v>
      </c>
      <c r="P2" s="17" t="s">
        <v>334</v>
      </c>
    </row>
    <row r="3" spans="1:16" x14ac:dyDescent="0.3">
      <c r="A3" s="9" t="s">
        <v>809</v>
      </c>
      <c r="B3" s="10" t="s">
        <v>818</v>
      </c>
      <c r="C3" s="11" t="s">
        <v>819</v>
      </c>
      <c r="D3" s="12">
        <v>43958</v>
      </c>
      <c r="E3" s="12">
        <v>43962</v>
      </c>
      <c r="F3" s="13">
        <v>0</v>
      </c>
      <c r="G3" s="14">
        <v>11965845</v>
      </c>
      <c r="H3" s="9" t="s">
        <v>820</v>
      </c>
      <c r="I3" s="15">
        <v>800147520</v>
      </c>
      <c r="J3" s="16" t="s">
        <v>822</v>
      </c>
      <c r="K3" s="17">
        <v>317</v>
      </c>
      <c r="L3" s="18" t="s">
        <v>21</v>
      </c>
      <c r="M3" s="19">
        <v>1500</v>
      </c>
      <c r="N3" s="19">
        <f>M3*0.19</f>
        <v>285</v>
      </c>
      <c r="O3" s="19">
        <f t="shared" si="1"/>
        <v>565845</v>
      </c>
      <c r="P3" s="17" t="s">
        <v>334</v>
      </c>
    </row>
    <row r="4" spans="1:16" x14ac:dyDescent="0.3">
      <c r="A4" s="9" t="s">
        <v>809</v>
      </c>
      <c r="B4" s="10" t="s">
        <v>818</v>
      </c>
      <c r="C4" s="11" t="s">
        <v>819</v>
      </c>
      <c r="D4" s="12">
        <v>43958</v>
      </c>
      <c r="E4" s="12">
        <v>43962</v>
      </c>
      <c r="F4" s="13">
        <v>3898952</v>
      </c>
      <c r="G4" s="14">
        <v>0</v>
      </c>
      <c r="H4" s="9" t="s">
        <v>820</v>
      </c>
      <c r="I4" s="15">
        <v>800147520</v>
      </c>
      <c r="J4" s="16" t="s">
        <v>822</v>
      </c>
      <c r="K4" s="17">
        <v>158</v>
      </c>
      <c r="L4" s="18" t="s">
        <v>21</v>
      </c>
      <c r="M4" s="19">
        <v>1590</v>
      </c>
      <c r="N4" s="19">
        <f>M4*0.19</f>
        <v>302.10000000000002</v>
      </c>
      <c r="O4" s="19">
        <f t="shared" si="1"/>
        <v>298951.8</v>
      </c>
      <c r="P4" s="17" t="s">
        <v>334</v>
      </c>
    </row>
    <row r="5" spans="1:16" x14ac:dyDescent="0.3">
      <c r="A5" s="9" t="s">
        <v>1291</v>
      </c>
      <c r="B5" s="10">
        <v>48389</v>
      </c>
      <c r="C5" s="11" t="s">
        <v>2171</v>
      </c>
      <c r="D5" s="12">
        <v>43980</v>
      </c>
      <c r="E5" s="12">
        <v>43964</v>
      </c>
      <c r="F5" s="13">
        <v>824075</v>
      </c>
      <c r="G5" s="14">
        <v>0</v>
      </c>
      <c r="H5" s="9" t="s">
        <v>2172</v>
      </c>
      <c r="I5" s="15">
        <v>830037946</v>
      </c>
      <c r="J5" s="16" t="s">
        <v>2174</v>
      </c>
      <c r="K5" s="17">
        <v>25</v>
      </c>
      <c r="L5" s="18" t="s">
        <v>21</v>
      </c>
      <c r="M5" s="19">
        <f>+F5/K5</f>
        <v>32963</v>
      </c>
      <c r="N5" s="19">
        <v>0</v>
      </c>
      <c r="O5" s="19">
        <f t="shared" si="1"/>
        <v>824075</v>
      </c>
      <c r="P5" s="17" t="s">
        <v>334</v>
      </c>
    </row>
    <row r="6" spans="1:16" x14ac:dyDescent="0.3">
      <c r="A6" s="9" t="s">
        <v>1291</v>
      </c>
      <c r="B6" s="10">
        <v>62768</v>
      </c>
      <c r="C6" s="11" t="s">
        <v>2243</v>
      </c>
      <c r="D6" s="12">
        <v>44189</v>
      </c>
      <c r="E6" s="12">
        <v>44189</v>
      </c>
      <c r="F6" s="13">
        <v>26944480</v>
      </c>
      <c r="G6" s="14">
        <v>0</v>
      </c>
      <c r="H6" s="9" t="s">
        <v>332</v>
      </c>
      <c r="I6" s="15">
        <v>830037946</v>
      </c>
      <c r="J6" s="16" t="s">
        <v>2244</v>
      </c>
      <c r="K6" s="17">
        <v>20</v>
      </c>
      <c r="L6" s="18" t="s">
        <v>21</v>
      </c>
      <c r="M6" s="19">
        <v>22003</v>
      </c>
      <c r="N6" s="19">
        <v>0</v>
      </c>
      <c r="O6" s="19">
        <f t="shared" si="1"/>
        <v>440060</v>
      </c>
      <c r="P6" s="17" t="s">
        <v>334</v>
      </c>
    </row>
    <row r="7" spans="1:16" x14ac:dyDescent="0.3">
      <c r="A7" s="9" t="s">
        <v>1291</v>
      </c>
      <c r="B7" s="10">
        <v>62768</v>
      </c>
      <c r="C7" s="11" t="s">
        <v>2243</v>
      </c>
      <c r="D7" s="12">
        <v>44189</v>
      </c>
      <c r="E7" s="12">
        <v>44189</v>
      </c>
      <c r="F7" s="13">
        <v>26944480</v>
      </c>
      <c r="G7" s="14">
        <v>0</v>
      </c>
      <c r="H7" s="9" t="s">
        <v>332</v>
      </c>
      <c r="I7" s="15">
        <v>830037946</v>
      </c>
      <c r="J7" s="16" t="s">
        <v>2245</v>
      </c>
      <c r="K7" s="17">
        <v>40</v>
      </c>
      <c r="L7" s="18" t="s">
        <v>21</v>
      </c>
      <c r="M7" s="19">
        <v>57703</v>
      </c>
      <c r="N7" s="19">
        <v>0</v>
      </c>
      <c r="O7" s="19">
        <f t="shared" si="1"/>
        <v>2308120</v>
      </c>
      <c r="P7" s="17" t="s">
        <v>334</v>
      </c>
    </row>
    <row r="8" spans="1:16" x14ac:dyDescent="0.3">
      <c r="A8" s="9" t="s">
        <v>1291</v>
      </c>
      <c r="B8" s="10">
        <v>62768</v>
      </c>
      <c r="C8" s="11" t="s">
        <v>2243</v>
      </c>
      <c r="D8" s="12">
        <v>44189</v>
      </c>
      <c r="E8" s="12">
        <v>44189</v>
      </c>
      <c r="F8" s="13">
        <v>26944480</v>
      </c>
      <c r="G8" s="14">
        <v>0</v>
      </c>
      <c r="H8" s="9" t="s">
        <v>332</v>
      </c>
      <c r="I8" s="15">
        <v>830037946</v>
      </c>
      <c r="J8" s="16" t="s">
        <v>2246</v>
      </c>
      <c r="K8" s="17">
        <v>20</v>
      </c>
      <c r="L8" s="18" t="s">
        <v>21</v>
      </c>
      <c r="M8" s="19">
        <v>15815</v>
      </c>
      <c r="N8" s="19">
        <v>0</v>
      </c>
      <c r="O8" s="19">
        <f t="shared" si="1"/>
        <v>316300</v>
      </c>
      <c r="P8" s="17" t="s">
        <v>334</v>
      </c>
    </row>
    <row r="9" spans="1:16" x14ac:dyDescent="0.3">
      <c r="A9" s="9" t="s">
        <v>1306</v>
      </c>
      <c r="B9" s="10" t="s">
        <v>1405</v>
      </c>
      <c r="C9" s="11" t="s">
        <v>1406</v>
      </c>
      <c r="D9" s="12">
        <v>44132</v>
      </c>
      <c r="E9" s="12">
        <v>44132</v>
      </c>
      <c r="F9" s="13">
        <v>5515620</v>
      </c>
      <c r="G9" s="14">
        <v>0</v>
      </c>
      <c r="H9" s="9" t="s">
        <v>332</v>
      </c>
      <c r="I9" s="15" t="s">
        <v>1407</v>
      </c>
      <c r="J9" s="16" t="s">
        <v>1922</v>
      </c>
      <c r="K9" s="17">
        <v>60</v>
      </c>
      <c r="L9" s="18" t="s">
        <v>21</v>
      </c>
      <c r="M9" s="19">
        <v>34224</v>
      </c>
      <c r="N9" s="19">
        <v>0</v>
      </c>
      <c r="O9" s="19">
        <f t="shared" si="1"/>
        <v>2053440</v>
      </c>
      <c r="P9" s="17" t="s">
        <v>334</v>
      </c>
    </row>
    <row r="10" spans="1:16" x14ac:dyDescent="0.3">
      <c r="A10" s="9" t="s">
        <v>1306</v>
      </c>
      <c r="B10" s="10" t="s">
        <v>1405</v>
      </c>
      <c r="C10" s="11" t="s">
        <v>1406</v>
      </c>
      <c r="D10" s="12">
        <v>44132</v>
      </c>
      <c r="E10" s="12">
        <v>44132</v>
      </c>
      <c r="F10" s="13">
        <v>5515620</v>
      </c>
      <c r="G10" s="14">
        <v>0</v>
      </c>
      <c r="H10" s="9" t="s">
        <v>332</v>
      </c>
      <c r="I10" s="15" t="s">
        <v>1407</v>
      </c>
      <c r="J10" s="16" t="s">
        <v>1923</v>
      </c>
      <c r="K10" s="17">
        <v>60</v>
      </c>
      <c r="L10" s="18" t="s">
        <v>21</v>
      </c>
      <c r="M10" s="19">
        <v>57703</v>
      </c>
      <c r="N10" s="19">
        <v>0</v>
      </c>
      <c r="O10" s="19">
        <f t="shared" si="1"/>
        <v>3462180</v>
      </c>
      <c r="P10" s="17" t="s">
        <v>334</v>
      </c>
    </row>
    <row r="11" spans="1:16" x14ac:dyDescent="0.3">
      <c r="A11" s="9" t="s">
        <v>1571</v>
      </c>
      <c r="B11" s="10" t="s">
        <v>2083</v>
      </c>
      <c r="C11" s="11" t="s">
        <v>1587</v>
      </c>
      <c r="D11" s="12">
        <v>43972</v>
      </c>
      <c r="E11" s="12">
        <v>43972</v>
      </c>
      <c r="F11" s="13">
        <v>9028390</v>
      </c>
      <c r="G11" s="14">
        <v>0</v>
      </c>
      <c r="H11" s="9" t="s">
        <v>1588</v>
      </c>
      <c r="I11" s="15">
        <v>900676378</v>
      </c>
      <c r="J11" s="16" t="s">
        <v>1590</v>
      </c>
      <c r="K11" s="17">
        <v>14</v>
      </c>
      <c r="L11" s="18" t="s">
        <v>21</v>
      </c>
      <c r="M11" s="19">
        <v>51500</v>
      </c>
      <c r="N11" s="19">
        <f>M11*0.19</f>
        <v>9785</v>
      </c>
      <c r="O11" s="19">
        <f t="shared" si="1"/>
        <v>857990</v>
      </c>
      <c r="P11" s="17" t="s">
        <v>334</v>
      </c>
    </row>
  </sheetData>
  <dataValidations count="10">
    <dataValidation type="date" allowBlank="1" showInputMessage="1" errorTitle="Entrada no válida" error="Por favor escriba una fecha válida (AAAA/MM/DD)" promptTitle="Ingrese una fecha (AAAA/MM/DD)" prompt=" Registre la fecha en la cual se SUSCRIBIÓ la orden (Formato AAAA/MM/DD)." sqref="D2:E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8">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2">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H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2 F9:F1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3 D4:E4 D11:E11">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I4">
      <formula1>-999999999</formula1>
      <formula2>999999999</formula2>
    </dataValidation>
  </dataValidations>
  <pageMargins left="0.7" right="0.7" top="0.75" bottom="0.75" header="0.3" footer="0.3"/>
  <legacy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J1" workbookViewId="0">
      <selection sqref="A1:P5"/>
    </sheetView>
  </sheetViews>
  <sheetFormatPr baseColWidth="10" defaultRowHeight="14.4" x14ac:dyDescent="0.3"/>
  <cols>
    <col min="1" max="1" width="15.88671875" customWidth="1"/>
    <col min="2" max="2" width="26"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2.6640625" customWidth="1"/>
    <col min="12" max="12" width="28.109375" customWidth="1"/>
    <col min="13" max="13" width="19" customWidth="1"/>
    <col min="14" max="14" width="15.6640625" customWidth="1"/>
    <col min="15" max="15" width="18" customWidth="1"/>
    <col min="16" max="16" width="48"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196</v>
      </c>
      <c r="B2" s="10" t="s">
        <v>218</v>
      </c>
      <c r="C2" s="11" t="s">
        <v>219</v>
      </c>
      <c r="D2" s="12">
        <v>43948</v>
      </c>
      <c r="E2" s="12">
        <v>43950</v>
      </c>
      <c r="F2" s="13">
        <v>7000000</v>
      </c>
      <c r="G2" s="14">
        <v>0</v>
      </c>
      <c r="H2" s="9" t="s">
        <v>220</v>
      </c>
      <c r="I2" s="15">
        <v>1024582398</v>
      </c>
      <c r="J2" s="16" t="s">
        <v>221</v>
      </c>
      <c r="K2" s="17">
        <v>1</v>
      </c>
      <c r="L2" s="18" t="s">
        <v>44</v>
      </c>
      <c r="M2" s="19">
        <v>3500000</v>
      </c>
      <c r="N2" s="19">
        <v>0</v>
      </c>
      <c r="O2" s="19">
        <v>7000000</v>
      </c>
      <c r="P2" s="21" t="s">
        <v>222</v>
      </c>
    </row>
    <row r="3" spans="1:16" x14ac:dyDescent="0.3">
      <c r="A3" s="9" t="s">
        <v>196</v>
      </c>
      <c r="B3" s="10" t="s">
        <v>223</v>
      </c>
      <c r="C3" s="11" t="s">
        <v>219</v>
      </c>
      <c r="D3" s="12">
        <v>43948</v>
      </c>
      <c r="E3" s="12">
        <v>43950</v>
      </c>
      <c r="F3" s="13">
        <v>7000000</v>
      </c>
      <c r="G3" s="14">
        <v>0</v>
      </c>
      <c r="H3" s="9" t="s">
        <v>224</v>
      </c>
      <c r="I3" s="15">
        <v>80004109</v>
      </c>
      <c r="J3" s="16" t="s">
        <v>221</v>
      </c>
      <c r="K3" s="17">
        <v>1</v>
      </c>
      <c r="L3" s="18" t="s">
        <v>44</v>
      </c>
      <c r="M3" s="19">
        <v>3500000</v>
      </c>
      <c r="N3" s="19">
        <v>0</v>
      </c>
      <c r="O3" s="19">
        <v>7000000</v>
      </c>
      <c r="P3" s="21" t="s">
        <v>222</v>
      </c>
    </row>
    <row r="4" spans="1:16" x14ac:dyDescent="0.3">
      <c r="A4" s="9" t="s">
        <v>196</v>
      </c>
      <c r="B4" s="10" t="s">
        <v>156</v>
      </c>
      <c r="C4" s="11" t="s">
        <v>219</v>
      </c>
      <c r="D4" s="12">
        <v>43948</v>
      </c>
      <c r="E4" s="12">
        <v>43950</v>
      </c>
      <c r="F4" s="13">
        <v>7000000</v>
      </c>
      <c r="G4" s="14">
        <v>0</v>
      </c>
      <c r="H4" s="9" t="s">
        <v>225</v>
      </c>
      <c r="I4" s="15">
        <v>79961756</v>
      </c>
      <c r="J4" s="16" t="s">
        <v>221</v>
      </c>
      <c r="K4" s="17">
        <v>1</v>
      </c>
      <c r="L4" s="18" t="s">
        <v>44</v>
      </c>
      <c r="M4" s="19">
        <v>3500000</v>
      </c>
      <c r="N4" s="19">
        <v>0</v>
      </c>
      <c r="O4" s="19">
        <v>7000000</v>
      </c>
      <c r="P4" s="21" t="s">
        <v>222</v>
      </c>
    </row>
    <row r="5" spans="1:16" x14ac:dyDescent="0.3">
      <c r="A5" s="9" t="s">
        <v>196</v>
      </c>
      <c r="B5" s="10" t="s">
        <v>162</v>
      </c>
      <c r="C5" s="11" t="s">
        <v>219</v>
      </c>
      <c r="D5" s="12">
        <v>43949</v>
      </c>
      <c r="E5" s="12">
        <v>43950</v>
      </c>
      <c r="F5" s="13">
        <v>7000000</v>
      </c>
      <c r="G5" s="14">
        <v>0</v>
      </c>
      <c r="H5" s="9" t="s">
        <v>226</v>
      </c>
      <c r="I5" s="15">
        <v>80261176</v>
      </c>
      <c r="J5" s="16" t="s">
        <v>221</v>
      </c>
      <c r="K5" s="17">
        <v>1</v>
      </c>
      <c r="L5" s="18" t="s">
        <v>44</v>
      </c>
      <c r="M5" s="19">
        <v>3500000</v>
      </c>
      <c r="N5" s="19">
        <v>0</v>
      </c>
      <c r="O5" s="19">
        <v>7000000</v>
      </c>
      <c r="P5" s="21" t="s">
        <v>222</v>
      </c>
    </row>
  </sheetData>
  <dataValidations count="7">
    <dataValidation type="date" allowBlank="1" showInputMessage="1" errorTitle="Entrada no válida" error="Por favor escriba una fecha válida (AAAA/MM/DD)" promptTitle="Ingrese una fecha (AAAA/MM/DD)" prompt=" Registre la fecha en la cual se SUSCRIBIÓ el contrato  (Formato AAAA/MM/DD)." sqref="D2:D5">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E5">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F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5">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2:I5">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H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5">
      <formula1>0</formula1>
      <formula2>390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workbookViewId="0">
      <pane ySplit="1" topLeftCell="A2" activePane="bottomLeft" state="frozen"/>
      <selection pane="bottomLeft" sqref="A1:P47"/>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138</v>
      </c>
      <c r="B2" s="10" t="s">
        <v>156</v>
      </c>
      <c r="C2" s="28" t="s">
        <v>157</v>
      </c>
      <c r="D2" s="12">
        <v>43966</v>
      </c>
      <c r="E2" s="12">
        <v>43966</v>
      </c>
      <c r="F2" s="13">
        <v>10515900</v>
      </c>
      <c r="G2" s="14">
        <v>0</v>
      </c>
      <c r="H2" s="9" t="s">
        <v>158</v>
      </c>
      <c r="I2" s="15">
        <v>830001338</v>
      </c>
      <c r="J2" s="16" t="s">
        <v>160</v>
      </c>
      <c r="K2" s="17">
        <v>400</v>
      </c>
      <c r="L2" s="29" t="s">
        <v>36</v>
      </c>
      <c r="M2" s="19">
        <v>12857.25</v>
      </c>
      <c r="N2" s="19">
        <v>0</v>
      </c>
      <c r="O2" s="19">
        <f t="shared" ref="O2:O47" si="0">K2*(M2+N2)</f>
        <v>5142900</v>
      </c>
      <c r="P2" s="21" t="s">
        <v>161</v>
      </c>
    </row>
    <row r="3" spans="1:16" x14ac:dyDescent="0.3">
      <c r="A3" s="9" t="s">
        <v>196</v>
      </c>
      <c r="B3" s="10" t="s">
        <v>203</v>
      </c>
      <c r="C3" s="11" t="s">
        <v>204</v>
      </c>
      <c r="D3" s="12">
        <v>43916</v>
      </c>
      <c r="E3" s="12">
        <v>43920</v>
      </c>
      <c r="F3" s="13">
        <v>219927500</v>
      </c>
      <c r="G3" s="14">
        <v>0</v>
      </c>
      <c r="H3" s="9" t="s">
        <v>205</v>
      </c>
      <c r="I3" s="15">
        <v>900521780</v>
      </c>
      <c r="J3" s="16" t="s">
        <v>207</v>
      </c>
      <c r="K3" s="17">
        <v>1150</v>
      </c>
      <c r="L3" s="18" t="s">
        <v>36</v>
      </c>
      <c r="M3" s="19">
        <v>9750</v>
      </c>
      <c r="N3" s="19">
        <v>0</v>
      </c>
      <c r="O3" s="19">
        <f t="shared" si="0"/>
        <v>11212500</v>
      </c>
      <c r="P3" s="17" t="s">
        <v>161</v>
      </c>
    </row>
    <row r="4" spans="1:16" x14ac:dyDescent="0.3">
      <c r="A4" s="9" t="s">
        <v>196</v>
      </c>
      <c r="B4" s="10" t="s">
        <v>1999</v>
      </c>
      <c r="C4" s="11" t="s">
        <v>1766</v>
      </c>
      <c r="D4" s="12">
        <v>44145</v>
      </c>
      <c r="E4" s="12">
        <v>44145</v>
      </c>
      <c r="F4" s="13">
        <v>26298000</v>
      </c>
      <c r="G4" s="14">
        <v>0</v>
      </c>
      <c r="H4" s="9" t="s">
        <v>271</v>
      </c>
      <c r="I4" s="15">
        <v>800165862</v>
      </c>
      <c r="J4" s="16" t="s">
        <v>1851</v>
      </c>
      <c r="K4" s="17">
        <f>2000*3.75</f>
        <v>7500</v>
      </c>
      <c r="L4" s="18" t="s">
        <v>36</v>
      </c>
      <c r="M4" s="19">
        <f>12649/3.75</f>
        <v>3373.0666666666666</v>
      </c>
      <c r="N4" s="19">
        <v>0</v>
      </c>
      <c r="O4" s="19">
        <f t="shared" si="0"/>
        <v>25298000</v>
      </c>
      <c r="P4" s="17" t="s">
        <v>161</v>
      </c>
    </row>
    <row r="5" spans="1:16" x14ac:dyDescent="0.3">
      <c r="A5" s="9" t="s">
        <v>196</v>
      </c>
      <c r="B5" s="10" t="s">
        <v>2000</v>
      </c>
      <c r="C5" s="11" t="s">
        <v>1767</v>
      </c>
      <c r="D5" s="12">
        <v>44145</v>
      </c>
      <c r="E5" s="12">
        <v>44145</v>
      </c>
      <c r="F5" s="13">
        <v>18890000</v>
      </c>
      <c r="G5" s="14">
        <v>0</v>
      </c>
      <c r="H5" s="9" t="s">
        <v>60</v>
      </c>
      <c r="I5" s="15">
        <v>830001338</v>
      </c>
      <c r="J5" s="16" t="s">
        <v>1852</v>
      </c>
      <c r="K5" s="17">
        <f>+(5000*750)/1000</f>
        <v>3750</v>
      </c>
      <c r="L5" s="18" t="s">
        <v>36</v>
      </c>
      <c r="M5" s="19">
        <f>+(3678*1000)/750</f>
        <v>4904</v>
      </c>
      <c r="N5" s="19">
        <v>0</v>
      </c>
      <c r="O5" s="19">
        <f t="shared" si="0"/>
        <v>18390000</v>
      </c>
      <c r="P5" s="17" t="s">
        <v>161</v>
      </c>
    </row>
    <row r="6" spans="1:16" x14ac:dyDescent="0.3">
      <c r="A6" s="9" t="s">
        <v>284</v>
      </c>
      <c r="B6" s="10" t="s">
        <v>320</v>
      </c>
      <c r="C6" s="11" t="s">
        <v>321</v>
      </c>
      <c r="D6" s="12">
        <v>43959</v>
      </c>
      <c r="E6" s="12">
        <v>43959</v>
      </c>
      <c r="F6" s="13">
        <v>7907306</v>
      </c>
      <c r="G6" s="14">
        <v>0</v>
      </c>
      <c r="H6" s="9" t="s">
        <v>60</v>
      </c>
      <c r="I6" s="15">
        <v>830001338</v>
      </c>
      <c r="J6" s="16" t="s">
        <v>322</v>
      </c>
      <c r="K6" s="17">
        <v>824.25</v>
      </c>
      <c r="L6" s="18" t="s">
        <v>36</v>
      </c>
      <c r="M6" s="19">
        <v>9593.3333333333339</v>
      </c>
      <c r="N6" s="19">
        <v>0</v>
      </c>
      <c r="O6" s="19">
        <f t="shared" si="0"/>
        <v>7907305.0000000009</v>
      </c>
      <c r="P6" s="17" t="s">
        <v>161</v>
      </c>
    </row>
    <row r="7" spans="1:16" x14ac:dyDescent="0.3">
      <c r="A7" s="9" t="s">
        <v>284</v>
      </c>
      <c r="B7" s="10" t="s">
        <v>388</v>
      </c>
      <c r="C7" s="11" t="s">
        <v>1781</v>
      </c>
      <c r="D7" s="12">
        <v>44160</v>
      </c>
      <c r="E7" s="12">
        <v>44160</v>
      </c>
      <c r="F7" s="13">
        <v>30398300</v>
      </c>
      <c r="G7" s="14">
        <v>0</v>
      </c>
      <c r="H7" s="9" t="s">
        <v>389</v>
      </c>
      <c r="I7" s="15">
        <v>901346888</v>
      </c>
      <c r="J7" s="16" t="s">
        <v>390</v>
      </c>
      <c r="K7" s="17">
        <f>+(5733*600)/1000</f>
        <v>3439.8</v>
      </c>
      <c r="L7" s="18" t="s">
        <v>36</v>
      </c>
      <c r="M7" s="19">
        <f>+(2599.77*1000)/600</f>
        <v>4332.95</v>
      </c>
      <c r="N7" s="19">
        <v>0</v>
      </c>
      <c r="O7" s="19">
        <f t="shared" si="0"/>
        <v>14904481.41</v>
      </c>
      <c r="P7" s="17" t="s">
        <v>161</v>
      </c>
    </row>
    <row r="8" spans="1:16" x14ac:dyDescent="0.3">
      <c r="A8" s="9" t="s">
        <v>402</v>
      </c>
      <c r="B8" s="10" t="s">
        <v>435</v>
      </c>
      <c r="C8" s="11" t="s">
        <v>436</v>
      </c>
      <c r="D8" s="12">
        <v>43973</v>
      </c>
      <c r="E8" s="12">
        <v>43973</v>
      </c>
      <c r="F8" s="13">
        <v>27600000</v>
      </c>
      <c r="G8" s="14">
        <v>0</v>
      </c>
      <c r="H8" s="9" t="s">
        <v>382</v>
      </c>
      <c r="I8" s="15">
        <v>900567130</v>
      </c>
      <c r="J8" s="16" t="s">
        <v>437</v>
      </c>
      <c r="K8" s="17">
        <v>3000</v>
      </c>
      <c r="L8" s="18" t="s">
        <v>36</v>
      </c>
      <c r="M8" s="19">
        <v>9200</v>
      </c>
      <c r="N8" s="19">
        <v>0</v>
      </c>
      <c r="O8" s="19">
        <f t="shared" si="0"/>
        <v>27600000</v>
      </c>
      <c r="P8" s="17" t="s">
        <v>161</v>
      </c>
    </row>
    <row r="9" spans="1:16" x14ac:dyDescent="0.3">
      <c r="A9" s="9" t="s">
        <v>402</v>
      </c>
      <c r="B9" t="s">
        <v>469</v>
      </c>
      <c r="C9" t="s">
        <v>470</v>
      </c>
      <c r="D9" s="12">
        <v>44175</v>
      </c>
      <c r="E9" s="12">
        <v>44186</v>
      </c>
      <c r="F9" s="13">
        <v>44652978</v>
      </c>
      <c r="G9" s="14">
        <v>0</v>
      </c>
      <c r="H9" s="9" t="s">
        <v>459</v>
      </c>
      <c r="I9" s="15">
        <v>830501019</v>
      </c>
      <c r="J9" s="16" t="s">
        <v>437</v>
      </c>
      <c r="K9" s="17">
        <v>2625</v>
      </c>
      <c r="L9" s="18" t="s">
        <v>36</v>
      </c>
      <c r="M9" s="19">
        <v>5453.3333339999999</v>
      </c>
      <c r="N9" s="19">
        <v>0</v>
      </c>
      <c r="O9" s="19">
        <f t="shared" si="0"/>
        <v>14315000.00175</v>
      </c>
      <c r="P9" s="17" t="s">
        <v>161</v>
      </c>
    </row>
    <row r="10" spans="1:16" x14ac:dyDescent="0.3">
      <c r="A10" s="9" t="s">
        <v>472</v>
      </c>
      <c r="B10" s="10" t="s">
        <v>484</v>
      </c>
      <c r="C10" s="11" t="s">
        <v>485</v>
      </c>
      <c r="D10" s="12">
        <v>43966</v>
      </c>
      <c r="E10" s="12">
        <v>43969</v>
      </c>
      <c r="F10" s="13">
        <v>27782000</v>
      </c>
      <c r="G10" s="14">
        <v>0</v>
      </c>
      <c r="H10" s="9" t="s">
        <v>486</v>
      </c>
      <c r="I10" s="15">
        <v>900881350</v>
      </c>
      <c r="J10" s="16" t="s">
        <v>489</v>
      </c>
      <c r="K10" s="17">
        <v>1215.1199999999999</v>
      </c>
      <c r="L10" s="18" t="s">
        <v>36</v>
      </c>
      <c r="M10" s="19">
        <v>5555</v>
      </c>
      <c r="N10" s="19">
        <v>0</v>
      </c>
      <c r="O10" s="19">
        <f t="shared" si="0"/>
        <v>6749991.5999999996</v>
      </c>
      <c r="P10" s="17" t="s">
        <v>161</v>
      </c>
    </row>
    <row r="11" spans="1:16" x14ac:dyDescent="0.3">
      <c r="A11" s="9" t="s">
        <v>657</v>
      </c>
      <c r="B11" s="10" t="s">
        <v>2033</v>
      </c>
      <c r="C11" s="11" t="s">
        <v>1797</v>
      </c>
      <c r="D11" s="12">
        <v>44159</v>
      </c>
      <c r="E11" s="12">
        <v>44159</v>
      </c>
      <c r="F11" s="13">
        <v>18333600</v>
      </c>
      <c r="G11" s="14">
        <v>0</v>
      </c>
      <c r="H11" s="9" t="s">
        <v>688</v>
      </c>
      <c r="I11" s="15">
        <v>830108770</v>
      </c>
      <c r="J11" s="16" t="s">
        <v>161</v>
      </c>
      <c r="K11" s="17">
        <f>1200*3.75</f>
        <v>4500</v>
      </c>
      <c r="L11" s="18" t="s">
        <v>36</v>
      </c>
      <c r="M11" s="19">
        <f>12800/3.75</f>
        <v>3413.3333333333335</v>
      </c>
      <c r="N11" s="19">
        <v>0</v>
      </c>
      <c r="O11" s="19">
        <f t="shared" si="0"/>
        <v>15360000</v>
      </c>
      <c r="P11" s="17" t="s">
        <v>161</v>
      </c>
    </row>
    <row r="12" spans="1:16" x14ac:dyDescent="0.3">
      <c r="A12" s="9" t="s">
        <v>690</v>
      </c>
      <c r="B12" s="10" t="s">
        <v>705</v>
      </c>
      <c r="C12" s="11" t="s">
        <v>706</v>
      </c>
      <c r="D12" s="12">
        <v>43929</v>
      </c>
      <c r="E12" s="12">
        <v>43929</v>
      </c>
      <c r="F12" s="13">
        <v>6125000</v>
      </c>
      <c r="G12" s="14">
        <v>0</v>
      </c>
      <c r="H12" s="9" t="s">
        <v>707</v>
      </c>
      <c r="I12" s="15">
        <v>1053782604</v>
      </c>
      <c r="J12" s="16" t="s">
        <v>161</v>
      </c>
      <c r="K12" s="17">
        <v>225</v>
      </c>
      <c r="L12" s="18" t="s">
        <v>36</v>
      </c>
      <c r="M12" s="19">
        <v>14000</v>
      </c>
      <c r="N12" s="19">
        <v>0</v>
      </c>
      <c r="O12" s="19">
        <f t="shared" si="0"/>
        <v>3150000</v>
      </c>
      <c r="P12" s="17" t="s">
        <v>161</v>
      </c>
    </row>
    <row r="13" spans="1:16" x14ac:dyDescent="0.3">
      <c r="A13" s="9" t="s">
        <v>690</v>
      </c>
      <c r="B13" s="10" t="s">
        <v>705</v>
      </c>
      <c r="C13" s="11" t="s">
        <v>706</v>
      </c>
      <c r="D13" s="12">
        <v>43929</v>
      </c>
      <c r="E13" s="12">
        <v>43929</v>
      </c>
      <c r="F13" s="13">
        <v>6125000</v>
      </c>
      <c r="G13" s="14">
        <v>0</v>
      </c>
      <c r="H13" s="9" t="s">
        <v>707</v>
      </c>
      <c r="I13" s="15">
        <v>1053782604</v>
      </c>
      <c r="J13" s="16" t="s">
        <v>161</v>
      </c>
      <c r="K13" s="17">
        <v>26.1</v>
      </c>
      <c r="L13" s="18" t="s">
        <v>36</v>
      </c>
      <c r="M13" s="19">
        <v>13409.961685823753</v>
      </c>
      <c r="N13" s="19">
        <v>0</v>
      </c>
      <c r="O13" s="19">
        <f t="shared" si="0"/>
        <v>350000</v>
      </c>
      <c r="P13" s="17" t="s">
        <v>161</v>
      </c>
    </row>
    <row r="14" spans="1:16" x14ac:dyDescent="0.3">
      <c r="A14" s="9" t="s">
        <v>690</v>
      </c>
      <c r="B14" s="10" t="s">
        <v>2036</v>
      </c>
      <c r="C14" s="11" t="s">
        <v>738</v>
      </c>
      <c r="D14" s="12">
        <v>43983</v>
      </c>
      <c r="E14" s="12">
        <v>43983</v>
      </c>
      <c r="F14" s="13">
        <v>2900000</v>
      </c>
      <c r="G14" s="14">
        <v>0</v>
      </c>
      <c r="H14" s="9" t="s">
        <v>60</v>
      </c>
      <c r="I14" s="15">
        <v>830001338</v>
      </c>
      <c r="J14" s="16" t="s">
        <v>739</v>
      </c>
      <c r="K14" s="17">
        <v>300</v>
      </c>
      <c r="L14" s="18" t="s">
        <v>36</v>
      </c>
      <c r="M14" s="19">
        <v>8666.6666666666661</v>
      </c>
      <c r="N14" s="19">
        <v>0</v>
      </c>
      <c r="O14" s="19">
        <f t="shared" si="0"/>
        <v>2600000</v>
      </c>
      <c r="P14" s="17" t="s">
        <v>161</v>
      </c>
    </row>
    <row r="15" spans="1:16" x14ac:dyDescent="0.3">
      <c r="A15" s="33" t="s">
        <v>690</v>
      </c>
      <c r="B15" s="33" t="s">
        <v>799</v>
      </c>
      <c r="C15" s="33" t="s">
        <v>1808</v>
      </c>
      <c r="D15" s="34">
        <v>44147</v>
      </c>
      <c r="E15" s="34">
        <v>44147</v>
      </c>
      <c r="F15" s="35">
        <v>6095000</v>
      </c>
      <c r="G15" s="14">
        <v>0</v>
      </c>
      <c r="H15" s="33" t="s">
        <v>689</v>
      </c>
      <c r="I15" s="36">
        <v>52223268</v>
      </c>
      <c r="J15" s="16" t="s">
        <v>1872</v>
      </c>
      <c r="K15" s="17">
        <v>750</v>
      </c>
      <c r="L15" s="18" t="s">
        <v>36</v>
      </c>
      <c r="M15" s="19">
        <v>4793.333333333333</v>
      </c>
      <c r="N15" s="19">
        <v>0</v>
      </c>
      <c r="O15" s="19">
        <f t="shared" si="0"/>
        <v>3595000</v>
      </c>
      <c r="P15" s="38" t="s">
        <v>161</v>
      </c>
    </row>
    <row r="16" spans="1:16" x14ac:dyDescent="0.3">
      <c r="A16" s="33" t="s">
        <v>690</v>
      </c>
      <c r="B16" s="33" t="s">
        <v>805</v>
      </c>
      <c r="C16" s="33" t="s">
        <v>1812</v>
      </c>
      <c r="D16" s="34">
        <v>44186</v>
      </c>
      <c r="E16" s="34">
        <v>44186</v>
      </c>
      <c r="F16" s="35">
        <v>7779980.4199999999</v>
      </c>
      <c r="G16" s="14">
        <v>0</v>
      </c>
      <c r="H16" s="33" t="s">
        <v>158</v>
      </c>
      <c r="I16" s="36">
        <v>830001338</v>
      </c>
      <c r="J16" s="33" t="s">
        <v>1872</v>
      </c>
      <c r="K16" s="17">
        <v>375</v>
      </c>
      <c r="L16" s="37" t="s">
        <v>36</v>
      </c>
      <c r="M16" s="19">
        <v>5000</v>
      </c>
      <c r="N16" s="19">
        <v>0</v>
      </c>
      <c r="O16" s="19">
        <f t="shared" si="0"/>
        <v>1875000</v>
      </c>
      <c r="P16" s="38" t="s">
        <v>161</v>
      </c>
    </row>
    <row r="17" spans="1:16" x14ac:dyDescent="0.3">
      <c r="A17" s="9" t="s">
        <v>1006</v>
      </c>
      <c r="B17" s="10" t="s">
        <v>1019</v>
      </c>
      <c r="C17" s="11" t="s">
        <v>1008</v>
      </c>
      <c r="D17" s="12">
        <v>43920</v>
      </c>
      <c r="E17" s="12">
        <v>43922</v>
      </c>
      <c r="F17" s="13">
        <v>26949480</v>
      </c>
      <c r="G17" s="14">
        <v>0</v>
      </c>
      <c r="H17" s="9" t="s">
        <v>1020</v>
      </c>
      <c r="I17" s="15">
        <v>900916649</v>
      </c>
      <c r="J17" s="16" t="s">
        <v>207</v>
      </c>
      <c r="K17" s="17">
        <f>(636*700)/1000</f>
        <v>445.2</v>
      </c>
      <c r="L17" s="18" t="s">
        <v>36</v>
      </c>
      <c r="M17" s="19">
        <f>(12500*1000)/700</f>
        <v>17857.142857142859</v>
      </c>
      <c r="N17" s="19">
        <v>0</v>
      </c>
      <c r="O17" s="19">
        <f t="shared" si="0"/>
        <v>7950000.0000000009</v>
      </c>
      <c r="P17" s="17" t="s">
        <v>161</v>
      </c>
    </row>
    <row r="18" spans="1:16" x14ac:dyDescent="0.3">
      <c r="A18" s="9" t="s">
        <v>1006</v>
      </c>
      <c r="B18" s="10" t="s">
        <v>1033</v>
      </c>
      <c r="C18" s="11" t="s">
        <v>1029</v>
      </c>
      <c r="D18" s="12">
        <v>43979</v>
      </c>
      <c r="E18" s="12">
        <v>43979</v>
      </c>
      <c r="F18" s="13">
        <v>79458450</v>
      </c>
      <c r="G18" s="14">
        <v>0</v>
      </c>
      <c r="H18" s="9" t="s">
        <v>1034</v>
      </c>
      <c r="I18" s="15">
        <v>813005241</v>
      </c>
      <c r="J18" s="16" t="s">
        <v>1035</v>
      </c>
      <c r="K18" s="17">
        <v>832</v>
      </c>
      <c r="L18" s="18" t="s">
        <v>36</v>
      </c>
      <c r="M18" s="19">
        <v>9397.1754799999999</v>
      </c>
      <c r="N18" s="19">
        <v>0</v>
      </c>
      <c r="O18" s="19">
        <f t="shared" si="0"/>
        <v>7818449.9993599998</v>
      </c>
      <c r="P18" s="17" t="s">
        <v>161</v>
      </c>
    </row>
    <row r="19" spans="1:16" x14ac:dyDescent="0.3">
      <c r="A19" s="9" t="s">
        <v>1006</v>
      </c>
      <c r="B19" s="10" t="s">
        <v>1973</v>
      </c>
      <c r="C19" s="11" t="s">
        <v>1029</v>
      </c>
      <c r="D19" s="12">
        <v>44181</v>
      </c>
      <c r="E19" s="12">
        <v>44181</v>
      </c>
      <c r="F19" s="13">
        <v>48415000</v>
      </c>
      <c r="G19" s="14">
        <v>0</v>
      </c>
      <c r="H19" s="9" t="s">
        <v>964</v>
      </c>
      <c r="I19" s="15">
        <v>830001338</v>
      </c>
      <c r="J19" s="16" t="s">
        <v>161</v>
      </c>
      <c r="K19" s="17">
        <v>3200</v>
      </c>
      <c r="L19" s="18" t="s">
        <v>36</v>
      </c>
      <c r="M19" s="19">
        <v>3750</v>
      </c>
      <c r="N19" s="19">
        <v>0</v>
      </c>
      <c r="O19" s="19">
        <f t="shared" si="0"/>
        <v>12000000</v>
      </c>
      <c r="P19" s="17" t="s">
        <v>161</v>
      </c>
    </row>
    <row r="20" spans="1:16" x14ac:dyDescent="0.3">
      <c r="A20" s="9" t="s">
        <v>1050</v>
      </c>
      <c r="B20" s="10" t="s">
        <v>1054</v>
      </c>
      <c r="C20" s="11" t="s">
        <v>1055</v>
      </c>
      <c r="D20" s="12">
        <v>43944</v>
      </c>
      <c r="E20" s="12">
        <v>43944</v>
      </c>
      <c r="F20" s="13">
        <v>5142900</v>
      </c>
      <c r="G20" s="14">
        <v>0</v>
      </c>
      <c r="H20" s="9" t="s">
        <v>60</v>
      </c>
      <c r="I20" s="15">
        <v>830001338</v>
      </c>
      <c r="J20" s="16" t="s">
        <v>1056</v>
      </c>
      <c r="K20" s="17">
        <v>380</v>
      </c>
      <c r="L20" s="18" t="s">
        <v>36</v>
      </c>
      <c r="M20" s="19">
        <v>13533.94736842</v>
      </c>
      <c r="N20" s="19">
        <v>0</v>
      </c>
      <c r="O20" s="19">
        <f t="shared" si="0"/>
        <v>5142899.9999996005</v>
      </c>
      <c r="P20" s="17" t="s">
        <v>161</v>
      </c>
    </row>
    <row r="21" spans="1:16" x14ac:dyDescent="0.3">
      <c r="A21" s="9" t="s">
        <v>1050</v>
      </c>
      <c r="B21" s="10" t="s">
        <v>1080</v>
      </c>
      <c r="C21" s="11" t="s">
        <v>1081</v>
      </c>
      <c r="D21" s="12">
        <v>43999</v>
      </c>
      <c r="E21" s="12">
        <v>43999</v>
      </c>
      <c r="F21" s="13">
        <v>18939000</v>
      </c>
      <c r="G21" s="14">
        <v>0</v>
      </c>
      <c r="H21" s="9" t="s">
        <v>1082</v>
      </c>
      <c r="I21" s="15">
        <v>900023386</v>
      </c>
      <c r="J21" s="16" t="s">
        <v>1084</v>
      </c>
      <c r="K21" s="17">
        <v>170</v>
      </c>
      <c r="L21" s="18" t="s">
        <v>36</v>
      </c>
      <c r="M21" s="19">
        <v>15300</v>
      </c>
      <c r="N21" s="19">
        <v>0</v>
      </c>
      <c r="O21" s="19">
        <f t="shared" si="0"/>
        <v>2601000</v>
      </c>
      <c r="P21" s="17" t="s">
        <v>161</v>
      </c>
    </row>
    <row r="22" spans="1:16" x14ac:dyDescent="0.3">
      <c r="A22" s="9" t="s">
        <v>1091</v>
      </c>
      <c r="B22" s="10" t="s">
        <v>1119</v>
      </c>
      <c r="C22" s="11" t="s">
        <v>1120</v>
      </c>
      <c r="D22" s="12">
        <v>43970</v>
      </c>
      <c r="E22" s="12">
        <v>43970</v>
      </c>
      <c r="F22" s="13">
        <v>12206031</v>
      </c>
      <c r="G22" s="14">
        <v>0</v>
      </c>
      <c r="H22" s="9" t="s">
        <v>356</v>
      </c>
      <c r="I22" s="15">
        <v>900300970</v>
      </c>
      <c r="J22" s="16" t="s">
        <v>161</v>
      </c>
      <c r="K22" s="17">
        <v>225</v>
      </c>
      <c r="L22" s="18" t="s">
        <v>36</v>
      </c>
      <c r="M22" s="19">
        <v>9581.24</v>
      </c>
      <c r="N22" s="19">
        <v>0</v>
      </c>
      <c r="O22" s="19">
        <f t="shared" si="0"/>
        <v>2155779</v>
      </c>
      <c r="P22" s="17" t="s">
        <v>161</v>
      </c>
    </row>
    <row r="23" spans="1:16" x14ac:dyDescent="0.3">
      <c r="A23" s="9" t="s">
        <v>1091</v>
      </c>
      <c r="B23" s="10" t="s">
        <v>1119</v>
      </c>
      <c r="C23" s="11" t="s">
        <v>1120</v>
      </c>
      <c r="D23" s="12">
        <v>43970</v>
      </c>
      <c r="E23" s="12">
        <v>43970</v>
      </c>
      <c r="F23" s="13">
        <v>12206031</v>
      </c>
      <c r="G23" s="14">
        <v>0</v>
      </c>
      <c r="H23" s="9" t="s">
        <v>356</v>
      </c>
      <c r="I23" s="15">
        <v>900300970</v>
      </c>
      <c r="J23" s="16" t="s">
        <v>160</v>
      </c>
      <c r="K23" s="17">
        <v>750</v>
      </c>
      <c r="L23" s="18" t="s">
        <v>36</v>
      </c>
      <c r="M23" s="19">
        <v>13400.335999999999</v>
      </c>
      <c r="N23" s="19">
        <v>0</v>
      </c>
      <c r="O23" s="19">
        <f t="shared" si="0"/>
        <v>10050252</v>
      </c>
      <c r="P23" s="17" t="s">
        <v>161</v>
      </c>
    </row>
    <row r="24" spans="1:16" x14ac:dyDescent="0.3">
      <c r="A24" s="9" t="s">
        <v>1091</v>
      </c>
      <c r="B24" s="10" t="s">
        <v>1268</v>
      </c>
      <c r="C24" s="11" t="s">
        <v>1269</v>
      </c>
      <c r="D24" s="12">
        <v>44169</v>
      </c>
      <c r="E24" s="12">
        <v>44169</v>
      </c>
      <c r="F24" s="13">
        <v>23063405</v>
      </c>
      <c r="G24" s="14">
        <v>0</v>
      </c>
      <c r="H24" s="9" t="s">
        <v>60</v>
      </c>
      <c r="I24" s="15">
        <v>830001338</v>
      </c>
      <c r="J24" s="16" t="s">
        <v>1273</v>
      </c>
      <c r="K24" s="17">
        <v>300</v>
      </c>
      <c r="L24" s="18" t="s">
        <v>36</v>
      </c>
      <c r="M24" s="19">
        <v>3550.75</v>
      </c>
      <c r="N24" s="19">
        <v>0</v>
      </c>
      <c r="O24" s="19">
        <f t="shared" si="0"/>
        <v>1065225</v>
      </c>
      <c r="P24" s="17" t="s">
        <v>161</v>
      </c>
    </row>
    <row r="25" spans="1:16" x14ac:dyDescent="0.3">
      <c r="A25" s="9" t="s">
        <v>1091</v>
      </c>
      <c r="B25" s="10" t="s">
        <v>1278</v>
      </c>
      <c r="C25" s="11" t="s">
        <v>1269</v>
      </c>
      <c r="D25" s="12">
        <v>44169</v>
      </c>
      <c r="E25" s="12">
        <v>44169</v>
      </c>
      <c r="F25" s="13">
        <v>7778892</v>
      </c>
      <c r="G25" s="14">
        <v>0</v>
      </c>
      <c r="H25" s="9" t="s">
        <v>689</v>
      </c>
      <c r="I25" s="15">
        <v>52223268</v>
      </c>
      <c r="J25" s="16" t="s">
        <v>1279</v>
      </c>
      <c r="K25" s="17">
        <f>600*3.75</f>
        <v>2250</v>
      </c>
      <c r="L25" s="18" t="s">
        <v>36</v>
      </c>
      <c r="M25" s="19">
        <f>12964.82/3.75</f>
        <v>3457.2853333333333</v>
      </c>
      <c r="N25" s="19">
        <v>0</v>
      </c>
      <c r="O25" s="19">
        <f t="shared" si="0"/>
        <v>7778892</v>
      </c>
      <c r="P25" s="17" t="s">
        <v>161</v>
      </c>
    </row>
    <row r="26" spans="1:16" x14ac:dyDescent="0.3">
      <c r="A26" s="9" t="s">
        <v>1091</v>
      </c>
      <c r="B26" s="10" t="s">
        <v>1287</v>
      </c>
      <c r="C26" s="11" t="s">
        <v>1269</v>
      </c>
      <c r="D26" s="12">
        <v>44176</v>
      </c>
      <c r="E26" s="12">
        <v>44176</v>
      </c>
      <c r="F26" s="13">
        <v>24108482</v>
      </c>
      <c r="G26" s="14">
        <v>0</v>
      </c>
      <c r="H26" s="9" t="s">
        <v>688</v>
      </c>
      <c r="I26" s="15">
        <v>830108770</v>
      </c>
      <c r="J26" s="16" t="s">
        <v>1279</v>
      </c>
      <c r="K26" s="17">
        <f>978*3.75</f>
        <v>3667.5</v>
      </c>
      <c r="L26" s="18" t="s">
        <v>36</v>
      </c>
      <c r="M26" s="19">
        <f>12834.17/3.75</f>
        <v>3422.4453333333336</v>
      </c>
      <c r="N26" s="19">
        <v>0</v>
      </c>
      <c r="O26" s="19">
        <f t="shared" si="0"/>
        <v>12551818.260000002</v>
      </c>
      <c r="P26" s="17" t="s">
        <v>161</v>
      </c>
    </row>
    <row r="27" spans="1:16" x14ac:dyDescent="0.3">
      <c r="A27" s="9" t="s">
        <v>1291</v>
      </c>
      <c r="B27" s="10">
        <v>49722</v>
      </c>
      <c r="C27" s="11" t="s">
        <v>2307</v>
      </c>
      <c r="D27" s="12">
        <v>43984</v>
      </c>
      <c r="E27" s="12">
        <v>43984</v>
      </c>
      <c r="F27" s="13">
        <v>23734890</v>
      </c>
      <c r="G27" s="14">
        <v>0</v>
      </c>
      <c r="H27" s="9" t="s">
        <v>2172</v>
      </c>
      <c r="I27" s="15">
        <v>830037946</v>
      </c>
      <c r="J27" s="16" t="s">
        <v>2179</v>
      </c>
      <c r="K27" s="17">
        <v>340</v>
      </c>
      <c r="L27" s="18" t="s">
        <v>36</v>
      </c>
      <c r="M27" s="19">
        <v>11600</v>
      </c>
      <c r="N27" s="19">
        <v>0</v>
      </c>
      <c r="O27" s="19">
        <f t="shared" si="0"/>
        <v>3944000</v>
      </c>
      <c r="P27" s="17" t="s">
        <v>161</v>
      </c>
    </row>
    <row r="28" spans="1:16" x14ac:dyDescent="0.3">
      <c r="A28" s="9" t="s">
        <v>1291</v>
      </c>
      <c r="B28" s="10">
        <v>61986</v>
      </c>
      <c r="C28" s="11" t="s">
        <v>2209</v>
      </c>
      <c r="D28" s="12">
        <v>44181</v>
      </c>
      <c r="E28" s="12">
        <v>44181</v>
      </c>
      <c r="F28" s="13">
        <v>2720000</v>
      </c>
      <c r="G28" s="14">
        <v>0</v>
      </c>
      <c r="H28" s="9" t="s">
        <v>688</v>
      </c>
      <c r="I28" s="15">
        <v>830108770</v>
      </c>
      <c r="J28" s="16" t="s">
        <v>2210</v>
      </c>
      <c r="K28" s="17">
        <v>400</v>
      </c>
      <c r="L28" s="18" t="s">
        <v>36</v>
      </c>
      <c r="M28" s="19">
        <v>6800</v>
      </c>
      <c r="N28" s="19">
        <v>0</v>
      </c>
      <c r="O28" s="19">
        <f t="shared" si="0"/>
        <v>2720000</v>
      </c>
      <c r="P28" s="17" t="s">
        <v>161</v>
      </c>
    </row>
    <row r="29" spans="1:16" x14ac:dyDescent="0.3">
      <c r="A29" s="9" t="s">
        <v>1306</v>
      </c>
      <c r="B29" s="10" t="s">
        <v>1387</v>
      </c>
      <c r="C29" s="11" t="s">
        <v>1388</v>
      </c>
      <c r="D29" s="12">
        <v>44187</v>
      </c>
      <c r="E29" s="12">
        <v>44188</v>
      </c>
      <c r="F29" s="13">
        <v>26108850</v>
      </c>
      <c r="G29" s="14">
        <v>0</v>
      </c>
      <c r="H29" s="9" t="s">
        <v>1389</v>
      </c>
      <c r="I29" s="15" t="s">
        <v>1390</v>
      </c>
      <c r="J29" s="16" t="s">
        <v>1391</v>
      </c>
      <c r="K29" s="17">
        <f>1158*3.75</f>
        <v>4342.5</v>
      </c>
      <c r="L29" s="18" t="s">
        <v>36</v>
      </c>
      <c r="M29" s="19">
        <f>15950/3.75</f>
        <v>4253.333333333333</v>
      </c>
      <c r="N29" s="19">
        <v>0</v>
      </c>
      <c r="O29" s="19">
        <f t="shared" si="0"/>
        <v>18470100</v>
      </c>
      <c r="P29" s="17" t="s">
        <v>161</v>
      </c>
    </row>
    <row r="30" spans="1:16" x14ac:dyDescent="0.3">
      <c r="A30" s="9" t="s">
        <v>1437</v>
      </c>
      <c r="B30" s="10" t="s">
        <v>2070</v>
      </c>
      <c r="C30" s="11" t="s">
        <v>1438</v>
      </c>
      <c r="D30" s="12">
        <v>43477</v>
      </c>
      <c r="E30" s="12">
        <v>43800</v>
      </c>
      <c r="F30" s="13">
        <v>0</v>
      </c>
      <c r="G30" s="14">
        <v>67434392</v>
      </c>
      <c r="H30" s="9" t="s">
        <v>1439</v>
      </c>
      <c r="I30" s="15">
        <v>811044253</v>
      </c>
      <c r="J30" s="16" t="s">
        <v>1440</v>
      </c>
      <c r="K30" s="17">
        <v>400</v>
      </c>
      <c r="L30" s="18" t="s">
        <v>36</v>
      </c>
      <c r="M30" s="19">
        <v>7000</v>
      </c>
      <c r="N30" s="19">
        <v>0</v>
      </c>
      <c r="O30" s="19">
        <f t="shared" si="0"/>
        <v>2800000</v>
      </c>
      <c r="P30" s="17" t="s">
        <v>161</v>
      </c>
    </row>
    <row r="31" spans="1:16" x14ac:dyDescent="0.3">
      <c r="A31" s="9" t="s">
        <v>1437</v>
      </c>
      <c r="B31" s="10" t="s">
        <v>2070</v>
      </c>
      <c r="C31" s="11" t="s">
        <v>1438</v>
      </c>
      <c r="D31" s="12">
        <v>43477</v>
      </c>
      <c r="E31" s="12">
        <v>43800</v>
      </c>
      <c r="F31" s="13">
        <v>0</v>
      </c>
      <c r="G31" s="14">
        <v>67434392</v>
      </c>
      <c r="H31" s="9" t="s">
        <v>1439</v>
      </c>
      <c r="I31" s="15">
        <v>811044253</v>
      </c>
      <c r="J31" s="16" t="s">
        <v>1441</v>
      </c>
      <c r="K31" s="17">
        <v>200</v>
      </c>
      <c r="L31" s="18" t="s">
        <v>36</v>
      </c>
      <c r="M31" s="19">
        <f>21840/2</f>
        <v>10920</v>
      </c>
      <c r="N31" s="19">
        <v>0</v>
      </c>
      <c r="O31" s="19">
        <f t="shared" si="0"/>
        <v>2184000</v>
      </c>
      <c r="P31" s="17" t="s">
        <v>161</v>
      </c>
    </row>
    <row r="32" spans="1:16" x14ac:dyDescent="0.3">
      <c r="A32" s="9" t="s">
        <v>1437</v>
      </c>
      <c r="B32" s="10" t="s">
        <v>2075</v>
      </c>
      <c r="C32" s="11" t="s">
        <v>1825</v>
      </c>
      <c r="D32" s="12">
        <v>44155</v>
      </c>
      <c r="E32" s="12">
        <v>44155</v>
      </c>
      <c r="F32" s="13">
        <v>16823986</v>
      </c>
      <c r="G32" s="14">
        <v>0</v>
      </c>
      <c r="H32" s="9" t="s">
        <v>689</v>
      </c>
      <c r="I32" s="15">
        <v>52223268</v>
      </c>
      <c r="J32" s="16" t="s">
        <v>1465</v>
      </c>
      <c r="K32" s="17">
        <f>(2500*750)/1000</f>
        <v>1875</v>
      </c>
      <c r="L32" s="18" t="s">
        <v>36</v>
      </c>
      <c r="M32" s="19">
        <f>(6729*1000)/750</f>
        <v>8972</v>
      </c>
      <c r="N32" s="19">
        <v>0</v>
      </c>
      <c r="O32" s="19">
        <f t="shared" si="0"/>
        <v>16822500</v>
      </c>
      <c r="P32" s="17" t="s">
        <v>161</v>
      </c>
    </row>
    <row r="33" spans="1:16" x14ac:dyDescent="0.3">
      <c r="A33" s="9" t="s">
        <v>1472</v>
      </c>
      <c r="B33" s="10" t="s">
        <v>1535</v>
      </c>
      <c r="C33" s="11" t="s">
        <v>1529</v>
      </c>
      <c r="D33" s="12">
        <v>43979</v>
      </c>
      <c r="E33" s="12">
        <v>43979</v>
      </c>
      <c r="F33" s="13">
        <v>1729522.14</v>
      </c>
      <c r="G33" s="14">
        <v>0</v>
      </c>
      <c r="H33" s="9" t="s">
        <v>959</v>
      </c>
      <c r="I33" s="15">
        <v>805023817</v>
      </c>
      <c r="J33" s="16" t="s">
        <v>207</v>
      </c>
      <c r="K33" s="17">
        <v>189</v>
      </c>
      <c r="L33" s="18" t="s">
        <v>36</v>
      </c>
      <c r="M33" s="19">
        <v>7869.75</v>
      </c>
      <c r="N33" s="19">
        <v>0</v>
      </c>
      <c r="O33" s="19">
        <f t="shared" si="0"/>
        <v>1487382.75</v>
      </c>
      <c r="P33" s="17" t="s">
        <v>161</v>
      </c>
    </row>
    <row r="34" spans="1:16" x14ac:dyDescent="0.3">
      <c r="A34" s="9" t="s">
        <v>1472</v>
      </c>
      <c r="B34" s="10" t="s">
        <v>1554</v>
      </c>
      <c r="C34" s="11" t="s">
        <v>1555</v>
      </c>
      <c r="D34" s="12">
        <v>44033</v>
      </c>
      <c r="E34" s="12">
        <v>44033</v>
      </c>
      <c r="F34" s="13">
        <v>5100093</v>
      </c>
      <c r="G34" s="14">
        <v>0</v>
      </c>
      <c r="H34" s="9" t="s">
        <v>1556</v>
      </c>
      <c r="I34" s="15">
        <v>811008383</v>
      </c>
      <c r="J34" s="16" t="s">
        <v>161</v>
      </c>
      <c r="K34" s="17">
        <v>1022</v>
      </c>
      <c r="L34" s="18" t="s">
        <v>36</v>
      </c>
      <c r="M34" s="19">
        <v>4413</v>
      </c>
      <c r="N34" s="19">
        <v>0</v>
      </c>
      <c r="O34" s="19">
        <f t="shared" si="0"/>
        <v>4510086</v>
      </c>
      <c r="P34" s="17" t="s">
        <v>161</v>
      </c>
    </row>
    <row r="35" spans="1:16" x14ac:dyDescent="0.3">
      <c r="A35" s="9" t="s">
        <v>1571</v>
      </c>
      <c r="B35" s="10" t="s">
        <v>2080</v>
      </c>
      <c r="C35" s="11" t="s">
        <v>1579</v>
      </c>
      <c r="D35" s="12">
        <v>43950</v>
      </c>
      <c r="E35" s="12">
        <v>43952</v>
      </c>
      <c r="F35" s="13">
        <v>5747700</v>
      </c>
      <c r="G35" s="14">
        <v>0</v>
      </c>
      <c r="H35" s="9" t="s">
        <v>1580</v>
      </c>
      <c r="I35" s="15">
        <v>901346165</v>
      </c>
      <c r="J35" s="16" t="s">
        <v>1581</v>
      </c>
      <c r="K35" s="17">
        <v>735</v>
      </c>
      <c r="L35" s="18" t="s">
        <v>36</v>
      </c>
      <c r="M35" s="19">
        <v>7820</v>
      </c>
      <c r="N35" s="19">
        <v>0</v>
      </c>
      <c r="O35" s="19">
        <f t="shared" si="0"/>
        <v>5747700</v>
      </c>
      <c r="P35" s="17" t="s">
        <v>161</v>
      </c>
    </row>
    <row r="36" spans="1:16" x14ac:dyDescent="0.3">
      <c r="A36" s="9" t="s">
        <v>1571</v>
      </c>
      <c r="B36" s="10" t="s">
        <v>2084</v>
      </c>
      <c r="C36" s="11" t="s">
        <v>1591</v>
      </c>
      <c r="D36" s="12">
        <v>43979</v>
      </c>
      <c r="E36" s="12">
        <v>43983</v>
      </c>
      <c r="F36" s="13">
        <v>3040254</v>
      </c>
      <c r="G36" s="14">
        <v>0</v>
      </c>
      <c r="H36" s="9" t="s">
        <v>1580</v>
      </c>
      <c r="I36" s="15">
        <v>901346165</v>
      </c>
      <c r="J36" s="16" t="s">
        <v>1592</v>
      </c>
      <c r="K36" s="17">
        <v>100</v>
      </c>
      <c r="L36" s="18" t="s">
        <v>36</v>
      </c>
      <c r="M36" s="19">
        <v>7152.54</v>
      </c>
      <c r="N36" s="19">
        <v>0</v>
      </c>
      <c r="O36" s="19">
        <f t="shared" si="0"/>
        <v>715254</v>
      </c>
      <c r="P36" s="17" t="s">
        <v>161</v>
      </c>
    </row>
    <row r="37" spans="1:16" x14ac:dyDescent="0.3">
      <c r="A37" s="9" t="s">
        <v>1571</v>
      </c>
      <c r="B37" s="10" t="s">
        <v>2084</v>
      </c>
      <c r="C37" s="11" t="s">
        <v>1591</v>
      </c>
      <c r="D37" s="12">
        <v>43979</v>
      </c>
      <c r="E37" s="12">
        <v>43983</v>
      </c>
      <c r="F37" s="13">
        <v>3040254</v>
      </c>
      <c r="G37" s="14">
        <v>0</v>
      </c>
      <c r="H37" s="9" t="s">
        <v>1580</v>
      </c>
      <c r="I37" s="15">
        <v>901346165</v>
      </c>
      <c r="J37" s="16" t="s">
        <v>1581</v>
      </c>
      <c r="K37" s="17">
        <v>300</v>
      </c>
      <c r="L37" s="18" t="s">
        <v>36</v>
      </c>
      <c r="M37" s="19">
        <v>7750</v>
      </c>
      <c r="N37" s="19">
        <v>0</v>
      </c>
      <c r="O37" s="19">
        <f t="shared" si="0"/>
        <v>2325000</v>
      </c>
      <c r="P37" s="17" t="s">
        <v>161</v>
      </c>
    </row>
    <row r="38" spans="1:16" x14ac:dyDescent="0.3">
      <c r="A38" s="9" t="s">
        <v>1571</v>
      </c>
      <c r="B38" s="10" t="s">
        <v>2105</v>
      </c>
      <c r="C38" s="11" t="s">
        <v>1828</v>
      </c>
      <c r="D38" s="12">
        <v>44099</v>
      </c>
      <c r="E38" s="12">
        <v>44099</v>
      </c>
      <c r="F38" s="13">
        <v>21119692.010000002</v>
      </c>
      <c r="G38" s="14">
        <v>0</v>
      </c>
      <c r="H38" s="9" t="s">
        <v>769</v>
      </c>
      <c r="I38" s="15">
        <v>900724561</v>
      </c>
      <c r="J38" s="16" t="s">
        <v>1592</v>
      </c>
      <c r="K38" s="17">
        <v>5756</v>
      </c>
      <c r="L38" s="18" t="s">
        <v>36</v>
      </c>
      <c r="M38" s="19">
        <v>3528.7719000000002</v>
      </c>
      <c r="N38" s="19">
        <v>0</v>
      </c>
      <c r="O38" s="19">
        <f t="shared" si="0"/>
        <v>20311611.056400001</v>
      </c>
      <c r="P38" s="17" t="s">
        <v>161</v>
      </c>
    </row>
    <row r="39" spans="1:16" x14ac:dyDescent="0.3">
      <c r="A39" s="9" t="s">
        <v>1571</v>
      </c>
      <c r="B39" s="10" t="s">
        <v>2108</v>
      </c>
      <c r="C39" s="11" t="s">
        <v>1829</v>
      </c>
      <c r="D39" s="12">
        <v>44106</v>
      </c>
      <c r="E39" s="12">
        <v>44106</v>
      </c>
      <c r="F39" s="13">
        <v>27065650.41</v>
      </c>
      <c r="G39" s="14">
        <v>0</v>
      </c>
      <c r="H39" s="9" t="s">
        <v>1623</v>
      </c>
      <c r="I39" s="15">
        <v>830082701</v>
      </c>
      <c r="J39" s="16" t="s">
        <v>1592</v>
      </c>
      <c r="K39" s="17">
        <v>7369</v>
      </c>
      <c r="L39" s="18" t="s">
        <v>36</v>
      </c>
      <c r="M39" s="19">
        <v>3501.5639000000001</v>
      </c>
      <c r="N39" s="19">
        <v>0</v>
      </c>
      <c r="O39" s="19">
        <f t="shared" si="0"/>
        <v>25803024.379100002</v>
      </c>
      <c r="P39" s="17" t="s">
        <v>161</v>
      </c>
    </row>
    <row r="40" spans="1:16" x14ac:dyDescent="0.3">
      <c r="A40" s="9" t="s">
        <v>1629</v>
      </c>
      <c r="B40" s="10" t="s">
        <v>2116</v>
      </c>
      <c r="C40" s="11" t="s">
        <v>1639</v>
      </c>
      <c r="D40" s="12">
        <v>43945</v>
      </c>
      <c r="E40" s="12">
        <v>43948</v>
      </c>
      <c r="F40" s="13">
        <v>2580000</v>
      </c>
      <c r="G40" s="14">
        <v>0</v>
      </c>
      <c r="H40" s="9" t="s">
        <v>1640</v>
      </c>
      <c r="I40" s="15">
        <v>901322759</v>
      </c>
      <c r="J40" s="16" t="s">
        <v>1641</v>
      </c>
      <c r="K40" s="17">
        <v>300</v>
      </c>
      <c r="L40" s="18" t="s">
        <v>36</v>
      </c>
      <c r="M40" s="19">
        <v>8600</v>
      </c>
      <c r="N40" s="19">
        <v>0</v>
      </c>
      <c r="O40" s="19">
        <f t="shared" si="0"/>
        <v>2580000</v>
      </c>
      <c r="P40" s="21" t="s">
        <v>161</v>
      </c>
    </row>
    <row r="41" spans="1:16" x14ac:dyDescent="0.3">
      <c r="A41" s="9" t="s">
        <v>1629</v>
      </c>
      <c r="B41" s="10" t="s">
        <v>2119</v>
      </c>
      <c r="C41" s="11" t="s">
        <v>1831</v>
      </c>
      <c r="D41" s="12">
        <v>44048</v>
      </c>
      <c r="E41" s="12">
        <v>44048</v>
      </c>
      <c r="F41" s="13">
        <v>3648961.09</v>
      </c>
      <c r="G41" s="14">
        <v>0</v>
      </c>
      <c r="H41" s="9" t="s">
        <v>535</v>
      </c>
      <c r="I41" s="15">
        <v>811008383</v>
      </c>
      <c r="J41" s="16" t="s">
        <v>1279</v>
      </c>
      <c r="K41" s="17">
        <f>202*3.75</f>
        <v>757.5</v>
      </c>
      <c r="L41" s="18" t="s">
        <v>36</v>
      </c>
      <c r="M41" s="19">
        <f>14479.17/3.75</f>
        <v>3861.1120000000001</v>
      </c>
      <c r="N41" s="19">
        <v>0</v>
      </c>
      <c r="O41" s="19">
        <f t="shared" si="0"/>
        <v>2924792.34</v>
      </c>
      <c r="P41" s="17" t="s">
        <v>161</v>
      </c>
    </row>
    <row r="42" spans="1:16" x14ac:dyDescent="0.3">
      <c r="A42" s="9" t="s">
        <v>1629</v>
      </c>
      <c r="B42" s="10" t="s">
        <v>2132</v>
      </c>
      <c r="C42" s="11" t="s">
        <v>1844</v>
      </c>
      <c r="D42" s="12">
        <v>44178</v>
      </c>
      <c r="E42" s="12">
        <v>44193</v>
      </c>
      <c r="F42" s="13">
        <v>1979316</v>
      </c>
      <c r="G42" s="14">
        <v>0</v>
      </c>
      <c r="H42" s="9" t="s">
        <v>60</v>
      </c>
      <c r="I42" s="15">
        <v>830001338</v>
      </c>
      <c r="J42" s="16" t="s">
        <v>1273</v>
      </c>
      <c r="K42" s="17">
        <v>92</v>
      </c>
      <c r="L42" s="18" t="s">
        <v>36</v>
      </c>
      <c r="M42" s="19">
        <v>3625</v>
      </c>
      <c r="N42" s="19">
        <v>0</v>
      </c>
      <c r="O42" s="19">
        <f t="shared" si="0"/>
        <v>333500</v>
      </c>
      <c r="P42" s="17" t="s">
        <v>161</v>
      </c>
    </row>
    <row r="43" spans="1:16" x14ac:dyDescent="0.3">
      <c r="A43" s="9" t="s">
        <v>1629</v>
      </c>
      <c r="B43" s="10" t="s">
        <v>2132</v>
      </c>
      <c r="C43" s="11" t="s">
        <v>1844</v>
      </c>
      <c r="D43" s="12">
        <v>44178</v>
      </c>
      <c r="E43" s="12">
        <v>44193</v>
      </c>
      <c r="F43" s="13">
        <v>1979316</v>
      </c>
      <c r="G43" s="14">
        <v>0</v>
      </c>
      <c r="H43" s="9" t="s">
        <v>60</v>
      </c>
      <c r="I43" s="15">
        <v>830001338</v>
      </c>
      <c r="J43" s="16" t="s">
        <v>1279</v>
      </c>
      <c r="K43" s="17">
        <f>92*3.75</f>
        <v>345</v>
      </c>
      <c r="L43" s="18" t="s">
        <v>36</v>
      </c>
      <c r="M43" s="19">
        <f>12998/3.75</f>
        <v>3466.1333333333332</v>
      </c>
      <c r="N43" s="19">
        <v>0</v>
      </c>
      <c r="O43" s="19">
        <f t="shared" si="0"/>
        <v>1195816</v>
      </c>
      <c r="P43" s="17" t="s">
        <v>161</v>
      </c>
    </row>
    <row r="44" spans="1:16" x14ac:dyDescent="0.3">
      <c r="A44" s="9" t="s">
        <v>1629</v>
      </c>
      <c r="B44" s="10" t="s">
        <v>2134</v>
      </c>
      <c r="C44" s="11" t="s">
        <v>1846</v>
      </c>
      <c r="D44" s="12">
        <v>44178</v>
      </c>
      <c r="E44" s="12">
        <v>44193</v>
      </c>
      <c r="F44" s="13">
        <v>1706603.81</v>
      </c>
      <c r="G44" s="14">
        <v>0</v>
      </c>
      <c r="H44" s="9" t="s">
        <v>60</v>
      </c>
      <c r="I44" s="15">
        <v>830001338</v>
      </c>
      <c r="J44" s="16" t="s">
        <v>1273</v>
      </c>
      <c r="K44" s="17">
        <v>52</v>
      </c>
      <c r="L44" s="18" t="s">
        <v>36</v>
      </c>
      <c r="M44" s="19">
        <v>3776.04</v>
      </c>
      <c r="N44" s="19">
        <v>0</v>
      </c>
      <c r="O44" s="19">
        <f t="shared" si="0"/>
        <v>196354.08</v>
      </c>
      <c r="P44" s="17" t="s">
        <v>161</v>
      </c>
    </row>
    <row r="45" spans="1:16" x14ac:dyDescent="0.3">
      <c r="A45" s="9" t="s">
        <v>1629</v>
      </c>
      <c r="B45" s="10" t="s">
        <v>2134</v>
      </c>
      <c r="C45" s="11" t="s">
        <v>1846</v>
      </c>
      <c r="D45" s="12">
        <v>44178</v>
      </c>
      <c r="E45" s="12">
        <v>44193</v>
      </c>
      <c r="F45" s="13">
        <v>1706603.81</v>
      </c>
      <c r="G45" s="14">
        <v>0</v>
      </c>
      <c r="H45" s="9" t="s">
        <v>60</v>
      </c>
      <c r="I45" s="15">
        <v>830001338</v>
      </c>
      <c r="J45" s="16" t="s">
        <v>1279</v>
      </c>
      <c r="K45" s="17">
        <f>80*3.75</f>
        <v>300</v>
      </c>
      <c r="L45" s="18" t="s">
        <v>36</v>
      </c>
      <c r="M45" s="19">
        <f>13539.58/3.75</f>
        <v>3610.5546666666664</v>
      </c>
      <c r="N45" s="19">
        <v>0</v>
      </c>
      <c r="O45" s="19">
        <f t="shared" si="0"/>
        <v>1083166.3999999999</v>
      </c>
      <c r="P45" s="17" t="s">
        <v>161</v>
      </c>
    </row>
    <row r="46" spans="1:16" x14ac:dyDescent="0.3">
      <c r="A46" s="9" t="s">
        <v>1692</v>
      </c>
      <c r="B46" s="10" t="s">
        <v>1739</v>
      </c>
      <c r="C46" s="11" t="s">
        <v>1740</v>
      </c>
      <c r="D46" s="12">
        <v>44008</v>
      </c>
      <c r="E46" s="12">
        <v>44008</v>
      </c>
      <c r="F46" s="13">
        <v>1949822</v>
      </c>
      <c r="G46" s="14">
        <v>0</v>
      </c>
      <c r="H46" s="9" t="s">
        <v>60</v>
      </c>
      <c r="I46" s="15">
        <v>830001338</v>
      </c>
      <c r="J46" s="16" t="s">
        <v>1741</v>
      </c>
      <c r="K46" s="17">
        <v>265.5</v>
      </c>
      <c r="L46" s="18" t="s">
        <v>36</v>
      </c>
      <c r="M46" s="19">
        <v>6590.666666666667</v>
      </c>
      <c r="N46" s="19">
        <v>0</v>
      </c>
      <c r="O46" s="19">
        <f t="shared" si="0"/>
        <v>1749822</v>
      </c>
      <c r="P46" s="17" t="s">
        <v>161</v>
      </c>
    </row>
    <row r="47" spans="1:16" x14ac:dyDescent="0.3">
      <c r="A47" s="9" t="s">
        <v>1692</v>
      </c>
      <c r="B47" s="10" t="s">
        <v>2149</v>
      </c>
      <c r="C47" s="11" t="s">
        <v>2163</v>
      </c>
      <c r="D47" s="12">
        <v>44161</v>
      </c>
      <c r="E47" s="12">
        <v>44161</v>
      </c>
      <c r="F47" s="13">
        <v>2814570</v>
      </c>
      <c r="G47" s="14">
        <v>0</v>
      </c>
      <c r="H47" s="9" t="s">
        <v>964</v>
      </c>
      <c r="I47" s="15">
        <v>830001338</v>
      </c>
      <c r="J47" s="16" t="s">
        <v>2168</v>
      </c>
      <c r="K47" s="17">
        <v>270</v>
      </c>
      <c r="L47" s="18" t="s">
        <v>36</v>
      </c>
      <c r="M47" s="19">
        <v>3533</v>
      </c>
      <c r="N47" s="19">
        <v>0</v>
      </c>
      <c r="O47" s="19">
        <f t="shared" si="0"/>
        <v>953910</v>
      </c>
      <c r="P47" s="17" t="s">
        <v>161</v>
      </c>
    </row>
    <row r="48" spans="1:16" x14ac:dyDescent="0.3">
      <c r="A48" s="9"/>
      <c r="B48" s="10"/>
      <c r="C48" s="11"/>
      <c r="D48" s="12"/>
      <c r="E48" s="12"/>
      <c r="F48" s="13"/>
      <c r="G48" s="14"/>
      <c r="H48" s="9"/>
      <c r="I48" s="15"/>
      <c r="J48" s="16"/>
      <c r="K48" s="17"/>
      <c r="L48" s="18"/>
      <c r="M48" s="19"/>
      <c r="N48" s="19"/>
      <c r="O48" s="19"/>
      <c r="P48" s="17"/>
    </row>
    <row r="49" spans="1:16" x14ac:dyDescent="0.3">
      <c r="A49" s="9"/>
      <c r="B49" s="10"/>
      <c r="C49" s="11"/>
      <c r="D49" s="12"/>
      <c r="E49" s="12"/>
      <c r="F49" s="13"/>
      <c r="G49" s="14"/>
      <c r="H49" s="9"/>
      <c r="I49" s="15"/>
      <c r="J49" s="16"/>
      <c r="K49" s="17"/>
      <c r="L49" s="18"/>
      <c r="M49" s="19"/>
      <c r="N49" s="19"/>
      <c r="O49" s="19"/>
      <c r="P49" s="17"/>
    </row>
    <row r="50" spans="1:16" x14ac:dyDescent="0.3">
      <c r="O50" s="31"/>
    </row>
  </sheetData>
  <dataValidations count="14">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2:I2 E32:E33 E6:E8 E15:E17 E10 E35 D3:E3 E49 E29 A2:B2 G41:G45 E46 G48">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10 D30:E30 D15:D17 D6:D8 D32:D33 D35">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15:F17 F6:F8 F35 F30:F33 F4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7:A28 A6:A16 A33">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15:I17 I6:I8 I32 I35:I37 I40:I4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40:H41 H15:H17 H6:H9 H32 H35:H37 H4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6:B8 B15:B17 B32:B33 B40">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49 A46">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29 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9">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11 B41:B45 B47:B48">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14:E14 D31:E31 D36:E37 D18:E26 D40:E41 D42:D45 D48 D47:E47">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40:F41 F36:F37 F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E42:E45 E48">
      <formula1>-9223372036854770000</formula1>
      <formula2>9223372036854770000</formula2>
    </dataValidation>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sqref="A1:P2"/>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1291</v>
      </c>
      <c r="B2" s="10">
        <v>61820</v>
      </c>
      <c r="C2" s="11" t="s">
        <v>2187</v>
      </c>
      <c r="D2" s="12">
        <v>44180</v>
      </c>
      <c r="E2" s="12">
        <v>44180</v>
      </c>
      <c r="F2" s="13">
        <v>3200000</v>
      </c>
      <c r="G2" s="14">
        <v>0</v>
      </c>
      <c r="H2" s="9" t="s">
        <v>382</v>
      </c>
      <c r="I2" s="15">
        <v>900567130</v>
      </c>
      <c r="J2" s="16" t="s">
        <v>2188</v>
      </c>
      <c r="K2" s="17">
        <v>20</v>
      </c>
      <c r="L2" s="18" t="s">
        <v>21</v>
      </c>
      <c r="M2" s="19">
        <v>155000</v>
      </c>
      <c r="N2" s="19">
        <v>0</v>
      </c>
      <c r="O2" s="19">
        <f t="shared" ref="O2" si="0">K2*(M2+N2)</f>
        <v>3100000</v>
      </c>
      <c r="P2" s="17" t="s">
        <v>2189</v>
      </c>
    </row>
  </sheetData>
  <dataValidations count="1">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selection sqref="A1:P35"/>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196</v>
      </c>
      <c r="B2" s="10" t="s">
        <v>1988</v>
      </c>
      <c r="C2" s="11" t="s">
        <v>253</v>
      </c>
      <c r="D2" s="12">
        <v>44036</v>
      </c>
      <c r="E2" s="12">
        <v>44036</v>
      </c>
      <c r="F2" s="13">
        <v>18420129</v>
      </c>
      <c r="G2" s="14">
        <v>0</v>
      </c>
      <c r="H2" s="9" t="s">
        <v>254</v>
      </c>
      <c r="I2" s="15">
        <v>830037946</v>
      </c>
      <c r="J2" s="16" t="s">
        <v>255</v>
      </c>
      <c r="K2" s="17">
        <v>117</v>
      </c>
      <c r="L2" s="18" t="s">
        <v>256</v>
      </c>
      <c r="M2" s="19">
        <v>157437</v>
      </c>
      <c r="N2" s="19">
        <v>0</v>
      </c>
      <c r="O2" s="19">
        <f t="shared" ref="O2:O35" si="0">K2*(M2+N2)</f>
        <v>18420129</v>
      </c>
      <c r="P2" s="17" t="s">
        <v>257</v>
      </c>
    </row>
    <row r="3" spans="1:16" x14ac:dyDescent="0.3">
      <c r="A3" s="9" t="s">
        <v>196</v>
      </c>
      <c r="B3" s="10" t="s">
        <v>2004</v>
      </c>
      <c r="C3" s="11" t="s">
        <v>1771</v>
      </c>
      <c r="D3" s="12">
        <v>44145</v>
      </c>
      <c r="E3" s="12">
        <v>44145</v>
      </c>
      <c r="F3" s="13">
        <v>11304100</v>
      </c>
      <c r="G3" s="14">
        <v>0</v>
      </c>
      <c r="H3" s="9" t="s">
        <v>273</v>
      </c>
      <c r="I3" s="15">
        <v>901211678</v>
      </c>
      <c r="J3" s="16" t="s">
        <v>274</v>
      </c>
      <c r="K3" s="17">
        <v>1000</v>
      </c>
      <c r="L3" s="18" t="s">
        <v>21</v>
      </c>
      <c r="M3" s="19">
        <v>9390</v>
      </c>
      <c r="N3" s="19">
        <f t="shared" ref="N3:N17" si="1">M3*0.19</f>
        <v>1784.1</v>
      </c>
      <c r="O3" s="19">
        <f t="shared" si="0"/>
        <v>11174100</v>
      </c>
      <c r="P3" s="17" t="s">
        <v>257</v>
      </c>
    </row>
    <row r="4" spans="1:16" x14ac:dyDescent="0.3">
      <c r="A4" s="9" t="s">
        <v>284</v>
      </c>
      <c r="B4" s="10" t="s">
        <v>365</v>
      </c>
      <c r="C4" s="11" t="s">
        <v>366</v>
      </c>
      <c r="D4" s="12">
        <v>43994</v>
      </c>
      <c r="E4" s="12">
        <v>44001</v>
      </c>
      <c r="F4" s="13">
        <v>4235200</v>
      </c>
      <c r="G4" s="14">
        <v>0</v>
      </c>
      <c r="H4" s="9" t="s">
        <v>367</v>
      </c>
      <c r="I4" s="15">
        <v>138486039</v>
      </c>
      <c r="J4" s="16" t="s">
        <v>368</v>
      </c>
      <c r="K4" s="17">
        <v>104</v>
      </c>
      <c r="L4" s="18" t="s">
        <v>21</v>
      </c>
      <c r="M4" s="19">
        <v>18487.394957983193</v>
      </c>
      <c r="N4" s="19">
        <f t="shared" si="1"/>
        <v>3512.6050420168067</v>
      </c>
      <c r="O4" s="19">
        <f t="shared" si="0"/>
        <v>2288000</v>
      </c>
      <c r="P4" s="17" t="s">
        <v>257</v>
      </c>
    </row>
    <row r="5" spans="1:16" x14ac:dyDescent="0.3">
      <c r="A5" s="9" t="s">
        <v>284</v>
      </c>
      <c r="B5" s="10" t="s">
        <v>365</v>
      </c>
      <c r="C5" s="11" t="s">
        <v>366</v>
      </c>
      <c r="D5" s="12">
        <v>43994</v>
      </c>
      <c r="E5" s="12">
        <v>44001</v>
      </c>
      <c r="F5" s="13">
        <v>4235200</v>
      </c>
      <c r="G5" s="14">
        <v>0</v>
      </c>
      <c r="H5" s="9" t="s">
        <v>367</v>
      </c>
      <c r="I5" s="15">
        <v>138486039</v>
      </c>
      <c r="J5" s="16" t="s">
        <v>369</v>
      </c>
      <c r="K5" s="17">
        <v>108</v>
      </c>
      <c r="L5" s="18" t="s">
        <v>21</v>
      </c>
      <c r="M5" s="19">
        <v>2689.0756302521008</v>
      </c>
      <c r="N5" s="19">
        <f t="shared" si="1"/>
        <v>510.92436974789916</v>
      </c>
      <c r="O5" s="19">
        <f t="shared" si="0"/>
        <v>345600</v>
      </c>
      <c r="P5" s="17" t="s">
        <v>257</v>
      </c>
    </row>
    <row r="6" spans="1:16" x14ac:dyDescent="0.3">
      <c r="A6" s="9" t="s">
        <v>284</v>
      </c>
      <c r="B6" s="10" t="s">
        <v>365</v>
      </c>
      <c r="C6" s="11" t="s">
        <v>366</v>
      </c>
      <c r="D6" s="12">
        <v>43994</v>
      </c>
      <c r="E6" s="12">
        <v>44001</v>
      </c>
      <c r="F6" s="13">
        <v>4235200</v>
      </c>
      <c r="G6" s="14">
        <v>0</v>
      </c>
      <c r="H6" s="9" t="s">
        <v>367</v>
      </c>
      <c r="I6" s="15">
        <v>138486039</v>
      </c>
      <c r="J6" s="16" t="s">
        <v>1858</v>
      </c>
      <c r="K6" s="17">
        <v>572</v>
      </c>
      <c r="L6" s="18" t="s">
        <v>21</v>
      </c>
      <c r="M6" s="19">
        <v>2352.9411764705883</v>
      </c>
      <c r="N6" s="19">
        <f t="shared" si="1"/>
        <v>447.05882352941177</v>
      </c>
      <c r="O6" s="19">
        <f t="shared" si="0"/>
        <v>1601600</v>
      </c>
      <c r="P6" s="17" t="s">
        <v>257</v>
      </c>
    </row>
    <row r="7" spans="1:16" x14ac:dyDescent="0.3">
      <c r="A7" s="9" t="s">
        <v>809</v>
      </c>
      <c r="B7" s="10" t="s">
        <v>827</v>
      </c>
      <c r="C7" s="11" t="s">
        <v>828</v>
      </c>
      <c r="D7" s="12">
        <v>43994</v>
      </c>
      <c r="E7" s="12">
        <v>43998</v>
      </c>
      <c r="F7" s="13">
        <v>24617210</v>
      </c>
      <c r="G7" s="14">
        <v>0</v>
      </c>
      <c r="H7" s="9" t="s">
        <v>829</v>
      </c>
      <c r="I7" s="15">
        <v>811036638</v>
      </c>
      <c r="J7" s="16" t="s">
        <v>830</v>
      </c>
      <c r="K7" s="17">
        <v>330</v>
      </c>
      <c r="L7" s="18" t="s">
        <v>21</v>
      </c>
      <c r="M7" s="19">
        <v>7022</v>
      </c>
      <c r="N7" s="19">
        <f t="shared" si="1"/>
        <v>1334.18</v>
      </c>
      <c r="O7" s="19">
        <f t="shared" si="0"/>
        <v>2757539.4</v>
      </c>
      <c r="P7" s="17" t="s">
        <v>257</v>
      </c>
    </row>
    <row r="8" spans="1:16" x14ac:dyDescent="0.3">
      <c r="A8" s="9" t="s">
        <v>809</v>
      </c>
      <c r="B8" s="10" t="s">
        <v>827</v>
      </c>
      <c r="C8" s="11" t="s">
        <v>828</v>
      </c>
      <c r="D8" s="12">
        <v>43994</v>
      </c>
      <c r="E8" s="12">
        <v>43998</v>
      </c>
      <c r="F8" s="13">
        <v>24617210</v>
      </c>
      <c r="G8" s="14">
        <v>0</v>
      </c>
      <c r="H8" s="9" t="s">
        <v>829</v>
      </c>
      <c r="I8" s="15">
        <v>811036638</v>
      </c>
      <c r="J8" s="16" t="s">
        <v>831</v>
      </c>
      <c r="K8" s="17">
        <v>330</v>
      </c>
      <c r="L8" s="18" t="s">
        <v>21</v>
      </c>
      <c r="M8" s="19">
        <v>3634</v>
      </c>
      <c r="N8" s="19">
        <f t="shared" si="1"/>
        <v>690.46</v>
      </c>
      <c r="O8" s="19">
        <f t="shared" si="0"/>
        <v>1427071.8</v>
      </c>
      <c r="P8" s="17" t="s">
        <v>257</v>
      </c>
    </row>
    <row r="9" spans="1:16" x14ac:dyDescent="0.3">
      <c r="A9" s="9" t="s">
        <v>809</v>
      </c>
      <c r="B9" s="10" t="s">
        <v>827</v>
      </c>
      <c r="C9" s="11" t="s">
        <v>828</v>
      </c>
      <c r="D9" s="12">
        <v>43994</v>
      </c>
      <c r="E9" s="12">
        <v>43998</v>
      </c>
      <c r="F9" s="13">
        <v>24617210</v>
      </c>
      <c r="G9" s="14">
        <v>0</v>
      </c>
      <c r="H9" s="9" t="s">
        <v>829</v>
      </c>
      <c r="I9" s="15">
        <v>811036638</v>
      </c>
      <c r="J9" s="16" t="s">
        <v>832</v>
      </c>
      <c r="K9" s="17">
        <v>320</v>
      </c>
      <c r="L9" s="18" t="s">
        <v>21</v>
      </c>
      <c r="M9" s="19">
        <v>3634</v>
      </c>
      <c r="N9" s="19">
        <f t="shared" si="1"/>
        <v>690.46</v>
      </c>
      <c r="O9" s="19">
        <f t="shared" si="0"/>
        <v>1383827.2</v>
      </c>
      <c r="P9" s="17" t="s">
        <v>257</v>
      </c>
    </row>
    <row r="10" spans="1:16" x14ac:dyDescent="0.3">
      <c r="A10" s="9" t="s">
        <v>809</v>
      </c>
      <c r="B10" s="10" t="s">
        <v>827</v>
      </c>
      <c r="C10" s="11" t="s">
        <v>828</v>
      </c>
      <c r="D10" s="12">
        <v>43994</v>
      </c>
      <c r="E10" s="12">
        <v>43998</v>
      </c>
      <c r="F10" s="13">
        <v>24617210</v>
      </c>
      <c r="G10" s="14">
        <v>0</v>
      </c>
      <c r="H10" s="9" t="s">
        <v>829</v>
      </c>
      <c r="I10" s="15">
        <v>811036638</v>
      </c>
      <c r="J10" s="16" t="s">
        <v>833</v>
      </c>
      <c r="K10" s="17">
        <v>320</v>
      </c>
      <c r="L10" s="18" t="s">
        <v>21</v>
      </c>
      <c r="M10" s="19">
        <v>3634</v>
      </c>
      <c r="N10" s="19">
        <f t="shared" si="1"/>
        <v>690.46</v>
      </c>
      <c r="O10" s="19">
        <f t="shared" si="0"/>
        <v>1383827.2</v>
      </c>
      <c r="P10" s="17" t="s">
        <v>257</v>
      </c>
    </row>
    <row r="11" spans="1:16" x14ac:dyDescent="0.3">
      <c r="A11" s="9" t="s">
        <v>809</v>
      </c>
      <c r="B11" s="10" t="s">
        <v>827</v>
      </c>
      <c r="C11" s="11" t="s">
        <v>828</v>
      </c>
      <c r="D11" s="12">
        <v>43994</v>
      </c>
      <c r="E11" s="12">
        <v>43998</v>
      </c>
      <c r="F11" s="13">
        <v>24617210</v>
      </c>
      <c r="G11" s="14">
        <v>0</v>
      </c>
      <c r="H11" s="9" t="s">
        <v>829</v>
      </c>
      <c r="I11" s="15">
        <v>811036638</v>
      </c>
      <c r="J11" s="16" t="s">
        <v>834</v>
      </c>
      <c r="K11" s="17">
        <v>320</v>
      </c>
      <c r="L11" s="18" t="s">
        <v>21</v>
      </c>
      <c r="M11" s="19">
        <v>3634</v>
      </c>
      <c r="N11" s="19">
        <f t="shared" si="1"/>
        <v>690.46</v>
      </c>
      <c r="O11" s="19">
        <f t="shared" si="0"/>
        <v>1383827.2</v>
      </c>
      <c r="P11" s="17" t="s">
        <v>257</v>
      </c>
    </row>
    <row r="12" spans="1:16" x14ac:dyDescent="0.3">
      <c r="A12" s="9" t="s">
        <v>809</v>
      </c>
      <c r="B12" s="10" t="s">
        <v>827</v>
      </c>
      <c r="C12" s="11" t="s">
        <v>828</v>
      </c>
      <c r="D12" s="12">
        <v>43994</v>
      </c>
      <c r="E12" s="12">
        <v>43998</v>
      </c>
      <c r="F12" s="13">
        <v>24617210</v>
      </c>
      <c r="G12" s="14">
        <v>0</v>
      </c>
      <c r="H12" s="9" t="s">
        <v>829</v>
      </c>
      <c r="I12" s="15">
        <v>811036638</v>
      </c>
      <c r="J12" s="16" t="s">
        <v>835</v>
      </c>
      <c r="K12" s="17">
        <v>320</v>
      </c>
      <c r="L12" s="18" t="s">
        <v>21</v>
      </c>
      <c r="M12" s="19">
        <v>3634</v>
      </c>
      <c r="N12" s="19">
        <f t="shared" si="1"/>
        <v>690.46</v>
      </c>
      <c r="O12" s="19">
        <f t="shared" si="0"/>
        <v>1383827.2</v>
      </c>
      <c r="P12" s="17" t="s">
        <v>257</v>
      </c>
    </row>
    <row r="13" spans="1:16" x14ac:dyDescent="0.3">
      <c r="A13" s="9" t="s">
        <v>809</v>
      </c>
      <c r="B13" s="10" t="s">
        <v>827</v>
      </c>
      <c r="C13" s="11" t="s">
        <v>828</v>
      </c>
      <c r="D13" s="12">
        <v>43994</v>
      </c>
      <c r="E13" s="12">
        <v>43998</v>
      </c>
      <c r="F13" s="13">
        <v>24617210</v>
      </c>
      <c r="G13" s="14">
        <v>0</v>
      </c>
      <c r="H13" s="9" t="s">
        <v>829</v>
      </c>
      <c r="I13" s="15">
        <v>811036638</v>
      </c>
      <c r="J13" s="16" t="s">
        <v>836</v>
      </c>
      <c r="K13" s="17">
        <v>320</v>
      </c>
      <c r="L13" s="18" t="s">
        <v>21</v>
      </c>
      <c r="M13" s="19">
        <v>3634</v>
      </c>
      <c r="N13" s="19">
        <f t="shared" si="1"/>
        <v>690.46</v>
      </c>
      <c r="O13" s="19">
        <f t="shared" si="0"/>
        <v>1383827.2</v>
      </c>
      <c r="P13" s="17" t="s">
        <v>257</v>
      </c>
    </row>
    <row r="14" spans="1:16" x14ac:dyDescent="0.3">
      <c r="A14" s="9" t="s">
        <v>809</v>
      </c>
      <c r="B14" s="10" t="s">
        <v>827</v>
      </c>
      <c r="C14" s="11" t="s">
        <v>828</v>
      </c>
      <c r="D14" s="12">
        <v>43994</v>
      </c>
      <c r="E14" s="12">
        <v>43998</v>
      </c>
      <c r="F14" s="13">
        <v>24617210</v>
      </c>
      <c r="G14" s="14">
        <v>0</v>
      </c>
      <c r="H14" s="9" t="s">
        <v>829</v>
      </c>
      <c r="I14" s="15">
        <v>811036638</v>
      </c>
      <c r="J14" s="16" t="s">
        <v>837</v>
      </c>
      <c r="K14" s="17">
        <v>320</v>
      </c>
      <c r="L14" s="18" t="s">
        <v>21</v>
      </c>
      <c r="M14" s="19">
        <v>3634</v>
      </c>
      <c r="N14" s="19">
        <f t="shared" si="1"/>
        <v>690.46</v>
      </c>
      <c r="O14" s="19">
        <f t="shared" si="0"/>
        <v>1383827.2</v>
      </c>
      <c r="P14" s="17" t="s">
        <v>257</v>
      </c>
    </row>
    <row r="15" spans="1:16" x14ac:dyDescent="0.3">
      <c r="A15" s="9" t="s">
        <v>809</v>
      </c>
      <c r="B15" s="10" t="s">
        <v>827</v>
      </c>
      <c r="C15" s="11" t="s">
        <v>828</v>
      </c>
      <c r="D15" s="12">
        <v>43994</v>
      </c>
      <c r="E15" s="12">
        <v>43998</v>
      </c>
      <c r="F15" s="13">
        <v>24617210</v>
      </c>
      <c r="G15" s="14">
        <v>0</v>
      </c>
      <c r="H15" s="9" t="s">
        <v>829</v>
      </c>
      <c r="I15" s="15">
        <v>811036638</v>
      </c>
      <c r="J15" s="16" t="s">
        <v>838</v>
      </c>
      <c r="K15" s="17">
        <v>320</v>
      </c>
      <c r="L15" s="18" t="s">
        <v>21</v>
      </c>
      <c r="M15" s="19">
        <v>3634</v>
      </c>
      <c r="N15" s="19">
        <f t="shared" si="1"/>
        <v>690.46</v>
      </c>
      <c r="O15" s="19">
        <f t="shared" si="0"/>
        <v>1383827.2</v>
      </c>
      <c r="P15" s="17" t="s">
        <v>257</v>
      </c>
    </row>
    <row r="16" spans="1:16" x14ac:dyDescent="0.3">
      <c r="A16" s="9" t="s">
        <v>809</v>
      </c>
      <c r="B16" s="10" t="s">
        <v>827</v>
      </c>
      <c r="C16" s="11" t="s">
        <v>828</v>
      </c>
      <c r="D16" s="12">
        <v>43994</v>
      </c>
      <c r="E16" s="12">
        <v>43998</v>
      </c>
      <c r="F16" s="13">
        <v>24617210</v>
      </c>
      <c r="G16" s="14">
        <v>0</v>
      </c>
      <c r="H16" s="9" t="s">
        <v>829</v>
      </c>
      <c r="I16" s="15">
        <v>811036638</v>
      </c>
      <c r="J16" s="16" t="s">
        <v>839</v>
      </c>
      <c r="K16" s="17">
        <v>1500</v>
      </c>
      <c r="L16" s="18" t="s">
        <v>21</v>
      </c>
      <c r="M16" s="19">
        <v>4125</v>
      </c>
      <c r="N16" s="19">
        <f t="shared" si="1"/>
        <v>783.75</v>
      </c>
      <c r="O16" s="19">
        <f t="shared" si="0"/>
        <v>7363125</v>
      </c>
      <c r="P16" s="17" t="s">
        <v>257</v>
      </c>
    </row>
    <row r="17" spans="1:16" x14ac:dyDescent="0.3">
      <c r="A17" s="9" t="s">
        <v>809</v>
      </c>
      <c r="B17" s="10" t="s">
        <v>827</v>
      </c>
      <c r="C17" s="11" t="s">
        <v>828</v>
      </c>
      <c r="D17" s="12">
        <v>43994</v>
      </c>
      <c r="E17" s="12">
        <v>43998</v>
      </c>
      <c r="F17" s="13">
        <v>24617210</v>
      </c>
      <c r="G17" s="14">
        <v>0</v>
      </c>
      <c r="H17" s="9" t="s">
        <v>829</v>
      </c>
      <c r="I17" s="15">
        <v>811036638</v>
      </c>
      <c r="J17" s="16" t="s">
        <v>840</v>
      </c>
      <c r="K17" s="17">
        <v>48</v>
      </c>
      <c r="L17" s="18" t="s">
        <v>21</v>
      </c>
      <c r="M17" s="19">
        <v>4950</v>
      </c>
      <c r="N17" s="19">
        <f t="shared" si="1"/>
        <v>940.5</v>
      </c>
      <c r="O17" s="19">
        <f t="shared" si="0"/>
        <v>282744</v>
      </c>
      <c r="P17" s="17" t="s">
        <v>257</v>
      </c>
    </row>
    <row r="18" spans="1:16" x14ac:dyDescent="0.3">
      <c r="A18" s="9" t="s">
        <v>1091</v>
      </c>
      <c r="B18" s="10" t="s">
        <v>2055</v>
      </c>
      <c r="C18" s="11" t="s">
        <v>1250</v>
      </c>
      <c r="D18" s="12">
        <v>44088</v>
      </c>
      <c r="E18" s="12">
        <v>44099</v>
      </c>
      <c r="F18" s="13">
        <v>6620000</v>
      </c>
      <c r="G18" s="14">
        <v>0</v>
      </c>
      <c r="H18" s="9" t="s">
        <v>1251</v>
      </c>
      <c r="I18" s="15">
        <v>14319641</v>
      </c>
      <c r="J18" s="16" t="s">
        <v>1911</v>
      </c>
      <c r="K18" s="17">
        <v>50</v>
      </c>
      <c r="L18" s="18" t="s">
        <v>21</v>
      </c>
      <c r="M18" s="19">
        <v>18000</v>
      </c>
      <c r="N18" s="19">
        <v>0</v>
      </c>
      <c r="O18" s="19">
        <f t="shared" si="0"/>
        <v>900000</v>
      </c>
      <c r="P18" s="17" t="s">
        <v>257</v>
      </c>
    </row>
    <row r="19" spans="1:16" x14ac:dyDescent="0.3">
      <c r="A19" s="9" t="s">
        <v>1091</v>
      </c>
      <c r="B19" s="10" t="s">
        <v>2055</v>
      </c>
      <c r="C19" s="11" t="s">
        <v>1250</v>
      </c>
      <c r="D19" s="12">
        <v>44088</v>
      </c>
      <c r="E19" s="12">
        <v>44099</v>
      </c>
      <c r="F19" s="13">
        <v>6620000</v>
      </c>
      <c r="G19" s="14">
        <v>0</v>
      </c>
      <c r="H19" s="9" t="s">
        <v>1251</v>
      </c>
      <c r="I19" s="15">
        <v>14319641</v>
      </c>
      <c r="J19" s="16" t="s">
        <v>1912</v>
      </c>
      <c r="K19" s="17">
        <v>50</v>
      </c>
      <c r="L19" s="18" t="s">
        <v>21</v>
      </c>
      <c r="M19" s="19">
        <v>18000</v>
      </c>
      <c r="N19" s="19">
        <v>0</v>
      </c>
      <c r="O19" s="19">
        <f t="shared" si="0"/>
        <v>900000</v>
      </c>
      <c r="P19" s="17" t="s">
        <v>257</v>
      </c>
    </row>
    <row r="20" spans="1:16" x14ac:dyDescent="0.3">
      <c r="A20" s="9" t="s">
        <v>1091</v>
      </c>
      <c r="B20" s="10" t="s">
        <v>2055</v>
      </c>
      <c r="C20" s="11" t="s">
        <v>1250</v>
      </c>
      <c r="D20" s="12">
        <v>44088</v>
      </c>
      <c r="E20" s="12">
        <v>44099</v>
      </c>
      <c r="F20" s="13">
        <v>6620000</v>
      </c>
      <c r="G20" s="14">
        <v>0</v>
      </c>
      <c r="H20" s="9" t="s">
        <v>1251</v>
      </c>
      <c r="I20" s="15">
        <v>14319641</v>
      </c>
      <c r="J20" s="16" t="s">
        <v>1913</v>
      </c>
      <c r="K20" s="17">
        <v>20</v>
      </c>
      <c r="L20" s="18" t="s">
        <v>21</v>
      </c>
      <c r="M20" s="19">
        <v>25000</v>
      </c>
      <c r="N20" s="19">
        <v>0</v>
      </c>
      <c r="O20" s="19">
        <f t="shared" si="0"/>
        <v>500000</v>
      </c>
      <c r="P20" s="17" t="s">
        <v>257</v>
      </c>
    </row>
    <row r="21" spans="1:16" x14ac:dyDescent="0.3">
      <c r="A21" s="9" t="s">
        <v>1091</v>
      </c>
      <c r="B21" s="10" t="s">
        <v>2055</v>
      </c>
      <c r="C21" s="11" t="s">
        <v>1250</v>
      </c>
      <c r="D21" s="12">
        <v>44088</v>
      </c>
      <c r="E21" s="12">
        <v>44099</v>
      </c>
      <c r="F21" s="13">
        <v>6620000</v>
      </c>
      <c r="G21" s="14">
        <v>0</v>
      </c>
      <c r="H21" s="9" t="s">
        <v>1251</v>
      </c>
      <c r="I21" s="15">
        <v>14319641</v>
      </c>
      <c r="J21" s="16" t="s">
        <v>1914</v>
      </c>
      <c r="K21" s="17">
        <v>50</v>
      </c>
      <c r="L21" s="18" t="s">
        <v>21</v>
      </c>
      <c r="M21" s="19">
        <v>18000</v>
      </c>
      <c r="N21" s="19">
        <v>0</v>
      </c>
      <c r="O21" s="19">
        <f t="shared" si="0"/>
        <v>900000</v>
      </c>
      <c r="P21" s="17" t="s">
        <v>257</v>
      </c>
    </row>
    <row r="22" spans="1:16" x14ac:dyDescent="0.3">
      <c r="A22" s="9" t="s">
        <v>1091</v>
      </c>
      <c r="B22" s="10" t="s">
        <v>2055</v>
      </c>
      <c r="C22" s="11" t="s">
        <v>1250</v>
      </c>
      <c r="D22" s="12">
        <v>44088</v>
      </c>
      <c r="E22" s="12">
        <v>44099</v>
      </c>
      <c r="F22" s="13">
        <v>6620000</v>
      </c>
      <c r="G22" s="14">
        <v>0</v>
      </c>
      <c r="H22" s="9" t="s">
        <v>1251</v>
      </c>
      <c r="I22" s="15">
        <v>14319641</v>
      </c>
      <c r="J22" s="16" t="s">
        <v>1915</v>
      </c>
      <c r="K22" s="17">
        <v>50</v>
      </c>
      <c r="L22" s="18" t="s">
        <v>21</v>
      </c>
      <c r="M22" s="19">
        <v>18000</v>
      </c>
      <c r="N22" s="19">
        <v>0</v>
      </c>
      <c r="O22" s="19">
        <f t="shared" si="0"/>
        <v>900000</v>
      </c>
      <c r="P22" s="17" t="s">
        <v>257</v>
      </c>
    </row>
    <row r="23" spans="1:16" x14ac:dyDescent="0.3">
      <c r="A23" s="9" t="s">
        <v>1091</v>
      </c>
      <c r="B23" s="10" t="s">
        <v>2055</v>
      </c>
      <c r="C23" s="11" t="s">
        <v>1250</v>
      </c>
      <c r="D23" s="12">
        <v>44088</v>
      </c>
      <c r="E23" s="12">
        <v>44099</v>
      </c>
      <c r="F23" s="13">
        <v>6620000</v>
      </c>
      <c r="G23" s="14">
        <v>0</v>
      </c>
      <c r="H23" s="9" t="s">
        <v>1251</v>
      </c>
      <c r="I23" s="15">
        <v>14319641</v>
      </c>
      <c r="J23" s="16" t="s">
        <v>1916</v>
      </c>
      <c r="K23" s="17">
        <v>10</v>
      </c>
      <c r="L23" s="18" t="s">
        <v>21</v>
      </c>
      <c r="M23" s="19">
        <v>12000</v>
      </c>
      <c r="N23" s="19">
        <v>0</v>
      </c>
      <c r="O23" s="19">
        <f t="shared" si="0"/>
        <v>120000</v>
      </c>
      <c r="P23" s="17" t="s">
        <v>257</v>
      </c>
    </row>
    <row r="24" spans="1:16" x14ac:dyDescent="0.3">
      <c r="A24" s="9" t="s">
        <v>1091</v>
      </c>
      <c r="B24" s="10" t="s">
        <v>2055</v>
      </c>
      <c r="C24" s="11" t="s">
        <v>1250</v>
      </c>
      <c r="D24" s="12">
        <v>44088</v>
      </c>
      <c r="E24" s="12">
        <v>44099</v>
      </c>
      <c r="F24" s="13">
        <v>6620000</v>
      </c>
      <c r="G24" s="14">
        <v>0</v>
      </c>
      <c r="H24" s="9" t="s">
        <v>1251</v>
      </c>
      <c r="I24" s="15">
        <v>14319641</v>
      </c>
      <c r="J24" s="16" t="s">
        <v>1917</v>
      </c>
      <c r="K24" s="17">
        <v>300</v>
      </c>
      <c r="L24" s="18" t="s">
        <v>21</v>
      </c>
      <c r="M24" s="19">
        <v>8000</v>
      </c>
      <c r="N24" s="19">
        <v>0</v>
      </c>
      <c r="O24" s="19">
        <f t="shared" si="0"/>
        <v>2400000</v>
      </c>
      <c r="P24" s="17" t="s">
        <v>257</v>
      </c>
    </row>
    <row r="25" spans="1:16" x14ac:dyDescent="0.3">
      <c r="A25" s="9" t="s">
        <v>1291</v>
      </c>
      <c r="B25" s="10">
        <v>62248</v>
      </c>
      <c r="C25" s="11" t="s">
        <v>2226</v>
      </c>
      <c r="D25" s="12">
        <v>44183</v>
      </c>
      <c r="E25" s="12">
        <v>44183</v>
      </c>
      <c r="F25" s="13">
        <v>357000</v>
      </c>
      <c r="G25" s="14">
        <v>0</v>
      </c>
      <c r="H25" s="9" t="s">
        <v>401</v>
      </c>
      <c r="I25" s="15">
        <v>901211678</v>
      </c>
      <c r="J25" s="16" t="s">
        <v>2227</v>
      </c>
      <c r="K25" s="17">
        <v>30</v>
      </c>
      <c r="L25" s="18" t="s">
        <v>53</v>
      </c>
      <c r="M25" s="19">
        <v>10000</v>
      </c>
      <c r="N25" s="19">
        <v>1900</v>
      </c>
      <c r="O25" s="19">
        <f t="shared" si="0"/>
        <v>357000</v>
      </c>
      <c r="P25" s="17" t="s">
        <v>257</v>
      </c>
    </row>
    <row r="26" spans="1:16" x14ac:dyDescent="0.3">
      <c r="A26" s="9" t="s">
        <v>1306</v>
      </c>
      <c r="B26" s="10" t="s">
        <v>1323</v>
      </c>
      <c r="C26" s="11" t="s">
        <v>1324</v>
      </c>
      <c r="D26" s="12">
        <v>44001</v>
      </c>
      <c r="E26" s="12">
        <v>44001</v>
      </c>
      <c r="F26" s="13">
        <v>1515800</v>
      </c>
      <c r="G26" s="14">
        <v>0</v>
      </c>
      <c r="H26" s="9" t="s">
        <v>1325</v>
      </c>
      <c r="I26" s="15">
        <v>76318532</v>
      </c>
      <c r="J26" s="16" t="s">
        <v>1326</v>
      </c>
      <c r="K26" s="17">
        <v>332</v>
      </c>
      <c r="L26" s="18" t="s">
        <v>21</v>
      </c>
      <c r="M26" s="19">
        <v>1400</v>
      </c>
      <c r="N26" s="19">
        <v>0</v>
      </c>
      <c r="O26" s="19">
        <f t="shared" si="0"/>
        <v>464800</v>
      </c>
      <c r="P26" s="17" t="s">
        <v>257</v>
      </c>
    </row>
    <row r="27" spans="1:16" x14ac:dyDescent="0.3">
      <c r="A27" s="9" t="s">
        <v>1306</v>
      </c>
      <c r="B27" s="10" t="s">
        <v>1323</v>
      </c>
      <c r="C27" s="11" t="s">
        <v>1324</v>
      </c>
      <c r="D27" s="12">
        <v>44001</v>
      </c>
      <c r="E27" s="12">
        <v>44001</v>
      </c>
      <c r="F27" s="13">
        <v>1515800</v>
      </c>
      <c r="G27" s="14">
        <v>0</v>
      </c>
      <c r="H27" s="9" t="s">
        <v>1325</v>
      </c>
      <c r="I27" s="15">
        <v>76318532</v>
      </c>
      <c r="J27" s="16" t="s">
        <v>1327</v>
      </c>
      <c r="K27" s="17">
        <v>106</v>
      </c>
      <c r="L27" s="18" t="s">
        <v>21</v>
      </c>
      <c r="M27" s="19">
        <v>1896.2264150943399</v>
      </c>
      <c r="N27" s="19">
        <v>0</v>
      </c>
      <c r="O27" s="19">
        <f t="shared" si="0"/>
        <v>201000.00000000003</v>
      </c>
      <c r="P27" s="17" t="s">
        <v>257</v>
      </c>
    </row>
    <row r="28" spans="1:16" x14ac:dyDescent="0.3">
      <c r="A28" s="9" t="s">
        <v>1306</v>
      </c>
      <c r="B28" s="10" t="s">
        <v>1323</v>
      </c>
      <c r="C28" s="11" t="s">
        <v>1324</v>
      </c>
      <c r="D28" s="12">
        <v>44001</v>
      </c>
      <c r="E28" s="12">
        <v>44001</v>
      </c>
      <c r="F28" s="13">
        <v>1515800</v>
      </c>
      <c r="G28" s="14">
        <v>0</v>
      </c>
      <c r="H28" s="9" t="s">
        <v>1325</v>
      </c>
      <c r="I28" s="15">
        <v>76318532</v>
      </c>
      <c r="J28" s="16" t="s">
        <v>1328</v>
      </c>
      <c r="K28" s="17">
        <v>500</v>
      </c>
      <c r="L28" s="18" t="s">
        <v>21</v>
      </c>
      <c r="M28" s="19">
        <v>1700</v>
      </c>
      <c r="N28" s="19">
        <v>0</v>
      </c>
      <c r="O28" s="19">
        <f t="shared" si="0"/>
        <v>850000</v>
      </c>
      <c r="P28" s="17" t="s">
        <v>257</v>
      </c>
    </row>
    <row r="29" spans="1:16" x14ac:dyDescent="0.3">
      <c r="A29" s="9" t="s">
        <v>1472</v>
      </c>
      <c r="B29" s="10" t="s">
        <v>1502</v>
      </c>
      <c r="C29" s="11" t="s">
        <v>1503</v>
      </c>
      <c r="D29" s="12">
        <v>43980</v>
      </c>
      <c r="E29" s="12">
        <v>43980</v>
      </c>
      <c r="F29" s="13">
        <v>3624000</v>
      </c>
      <c r="G29" s="14">
        <v>0</v>
      </c>
      <c r="H29" s="9" t="s">
        <v>1504</v>
      </c>
      <c r="I29" s="15">
        <v>16471150</v>
      </c>
      <c r="J29" s="16" t="s">
        <v>1505</v>
      </c>
      <c r="K29" s="17">
        <v>995</v>
      </c>
      <c r="L29" s="18" t="s">
        <v>21</v>
      </c>
      <c r="M29" s="19">
        <v>3642.211055276382</v>
      </c>
      <c r="N29" s="19">
        <v>0</v>
      </c>
      <c r="O29" s="19">
        <f t="shared" si="0"/>
        <v>3624000</v>
      </c>
      <c r="P29" s="17" t="s">
        <v>257</v>
      </c>
    </row>
    <row r="30" spans="1:16" x14ac:dyDescent="0.3">
      <c r="A30" s="9" t="s">
        <v>1472</v>
      </c>
      <c r="B30" s="10" t="s">
        <v>1515</v>
      </c>
      <c r="C30" s="11" t="s">
        <v>1516</v>
      </c>
      <c r="D30" s="12">
        <v>44012</v>
      </c>
      <c r="E30" s="12">
        <v>44012</v>
      </c>
      <c r="F30" s="13">
        <v>3120000</v>
      </c>
      <c r="G30" s="14">
        <v>0</v>
      </c>
      <c r="H30" s="9" t="s">
        <v>1517</v>
      </c>
      <c r="I30" s="15">
        <v>92527655</v>
      </c>
      <c r="J30" s="16" t="s">
        <v>1518</v>
      </c>
      <c r="K30" s="17">
        <v>8</v>
      </c>
      <c r="L30" s="18" t="s">
        <v>631</v>
      </c>
      <c r="M30" s="19">
        <v>63025</v>
      </c>
      <c r="N30" s="19">
        <f t="shared" ref="N30:N32" si="2">M30*0.19</f>
        <v>11974.75</v>
      </c>
      <c r="O30" s="19">
        <f t="shared" si="0"/>
        <v>599998</v>
      </c>
      <c r="P30" s="17" t="s">
        <v>257</v>
      </c>
    </row>
    <row r="31" spans="1:16" x14ac:dyDescent="0.3">
      <c r="A31" s="9" t="s">
        <v>1472</v>
      </c>
      <c r="B31" s="10" t="s">
        <v>1515</v>
      </c>
      <c r="C31" s="11" t="s">
        <v>1516</v>
      </c>
      <c r="D31" s="12">
        <v>44012</v>
      </c>
      <c r="E31" s="12">
        <v>44012</v>
      </c>
      <c r="F31" s="13">
        <v>3120000</v>
      </c>
      <c r="G31" s="14">
        <v>0</v>
      </c>
      <c r="H31" s="9" t="s">
        <v>1517</v>
      </c>
      <c r="I31" s="15">
        <v>92527655</v>
      </c>
      <c r="J31" s="16" t="s">
        <v>1519</v>
      </c>
      <c r="K31" s="17">
        <v>40</v>
      </c>
      <c r="L31" s="18" t="s">
        <v>1520</v>
      </c>
      <c r="M31" s="19">
        <v>25210.084033613446</v>
      </c>
      <c r="N31" s="19">
        <f t="shared" si="2"/>
        <v>4789.9159663865548</v>
      </c>
      <c r="O31" s="19">
        <f t="shared" si="0"/>
        <v>1200000</v>
      </c>
      <c r="P31" s="17" t="s">
        <v>257</v>
      </c>
    </row>
    <row r="32" spans="1:16" x14ac:dyDescent="0.3">
      <c r="A32" s="9" t="s">
        <v>1472</v>
      </c>
      <c r="B32" s="10" t="s">
        <v>1515</v>
      </c>
      <c r="C32" s="11" t="s">
        <v>1516</v>
      </c>
      <c r="D32" s="12">
        <v>44012</v>
      </c>
      <c r="E32" s="12">
        <v>44012</v>
      </c>
      <c r="F32" s="13">
        <v>3120000</v>
      </c>
      <c r="G32" s="14">
        <v>0</v>
      </c>
      <c r="H32" s="9" t="s">
        <v>1517</v>
      </c>
      <c r="I32" s="15">
        <v>92527655</v>
      </c>
      <c r="J32" s="16" t="s">
        <v>1521</v>
      </c>
      <c r="K32" s="17">
        <v>60</v>
      </c>
      <c r="L32" s="18" t="s">
        <v>1522</v>
      </c>
      <c r="M32" s="19">
        <v>18487.394957983193</v>
      </c>
      <c r="N32" s="19">
        <f t="shared" si="2"/>
        <v>3512.6050420168067</v>
      </c>
      <c r="O32" s="19">
        <f t="shared" si="0"/>
        <v>1320000</v>
      </c>
      <c r="P32" s="17" t="s">
        <v>257</v>
      </c>
    </row>
    <row r="33" spans="1:16" x14ac:dyDescent="0.3">
      <c r="A33" s="9" t="s">
        <v>1629</v>
      </c>
      <c r="B33" s="10" t="s">
        <v>2117</v>
      </c>
      <c r="C33" s="11" t="s">
        <v>1665</v>
      </c>
      <c r="D33" s="12">
        <v>43969</v>
      </c>
      <c r="E33" s="12">
        <v>43971</v>
      </c>
      <c r="F33" s="13">
        <v>20065000</v>
      </c>
      <c r="G33" s="14">
        <v>0</v>
      </c>
      <c r="H33" s="9" t="s">
        <v>1946</v>
      </c>
      <c r="I33" s="15">
        <v>77188846</v>
      </c>
      <c r="J33" s="16" t="s">
        <v>1667</v>
      </c>
      <c r="K33" s="17">
        <v>57</v>
      </c>
      <c r="L33" s="18" t="s">
        <v>1668</v>
      </c>
      <c r="M33" s="19">
        <v>45000</v>
      </c>
      <c r="N33" s="19">
        <v>0</v>
      </c>
      <c r="O33" s="19">
        <f t="shared" si="0"/>
        <v>2565000</v>
      </c>
      <c r="P33" s="21" t="s">
        <v>257</v>
      </c>
    </row>
    <row r="34" spans="1:16" x14ac:dyDescent="0.3">
      <c r="A34" s="9" t="s">
        <v>1692</v>
      </c>
      <c r="B34" s="10" t="s">
        <v>1730</v>
      </c>
      <c r="C34" s="11" t="s">
        <v>1731</v>
      </c>
      <c r="D34" s="12">
        <v>44001</v>
      </c>
      <c r="E34" s="12">
        <v>44001</v>
      </c>
      <c r="F34" s="13">
        <v>3957720</v>
      </c>
      <c r="G34" s="14">
        <v>0</v>
      </c>
      <c r="H34" s="9" t="s">
        <v>1075</v>
      </c>
      <c r="I34" s="15">
        <v>900155107</v>
      </c>
      <c r="J34" s="16" t="s">
        <v>1732</v>
      </c>
      <c r="K34" s="17">
        <v>5</v>
      </c>
      <c r="L34" s="18" t="s">
        <v>1733</v>
      </c>
      <c r="M34" s="19">
        <v>126000</v>
      </c>
      <c r="N34" s="19">
        <v>0</v>
      </c>
      <c r="O34" s="19">
        <f t="shared" si="0"/>
        <v>630000</v>
      </c>
      <c r="P34" s="17" t="s">
        <v>257</v>
      </c>
    </row>
    <row r="35" spans="1:16" x14ac:dyDescent="0.3">
      <c r="A35" s="9" t="s">
        <v>1692</v>
      </c>
      <c r="B35" s="10" t="s">
        <v>1735</v>
      </c>
      <c r="C35" s="11" t="s">
        <v>1736</v>
      </c>
      <c r="D35" s="12">
        <v>44001</v>
      </c>
      <c r="E35" s="12">
        <v>44001</v>
      </c>
      <c r="F35" s="13">
        <v>1063680</v>
      </c>
      <c r="G35" s="14">
        <v>0</v>
      </c>
      <c r="H35" s="9" t="s">
        <v>254</v>
      </c>
      <c r="I35" s="15">
        <v>830037946</v>
      </c>
      <c r="J35" s="16" t="s">
        <v>1737</v>
      </c>
      <c r="K35" s="17">
        <v>6</v>
      </c>
      <c r="L35" s="18" t="s">
        <v>1520</v>
      </c>
      <c r="M35" s="19">
        <v>44030</v>
      </c>
      <c r="N35" s="19">
        <v>0</v>
      </c>
      <c r="O35" s="19">
        <f t="shared" si="0"/>
        <v>264180</v>
      </c>
      <c r="P35" s="17" t="s">
        <v>257</v>
      </c>
    </row>
  </sheetData>
  <dataValidations count="11">
    <dataValidation type="date" allowBlank="1" showInputMessage="1" errorTitle="Entrada no válida" error="Por favor escriba una fecha válida (AAAA/MM/DD)" promptTitle="Ingrese una fecha (AAAA/MM/DD)" prompt=" Registre la fecha en la cual se SUSCRIBIÓ el contrato  (Formato AAAA/MM/DD)." sqref="E4:E6 D4:D15 D2 D30:D32 D34">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7:E15 E26:E28 E2 E30:E32 D33:I33 A33:B33 E34:E35">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4:F15 F30:F32 F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5 A4:A17 A29:A32 A34">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 I25 I29 I7:I9 I3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 H29 H25 H7:H9 H16:H17 H3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B7:B17 B30:B32 B34">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16:E24 D29:E29">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16 F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29">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35">
      <formula1>0</formula1>
      <formula2>390</formula2>
    </dataValidation>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9"/>
  <sheetViews>
    <sheetView workbookViewId="0">
      <selection activeCell="A110" sqref="A110:XFD110"/>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558</v>
      </c>
      <c r="B2" s="10" t="s">
        <v>565</v>
      </c>
      <c r="C2" s="11" t="s">
        <v>566</v>
      </c>
      <c r="D2" s="12">
        <v>43937</v>
      </c>
      <c r="E2" s="12">
        <v>43942</v>
      </c>
      <c r="F2" s="13">
        <v>38556000</v>
      </c>
      <c r="G2" s="14">
        <v>0</v>
      </c>
      <c r="H2" s="9" t="s">
        <v>567</v>
      </c>
      <c r="I2" s="15">
        <v>900588802</v>
      </c>
      <c r="J2" s="16" t="s">
        <v>568</v>
      </c>
      <c r="K2" s="17">
        <v>3</v>
      </c>
      <c r="L2" s="18" t="s">
        <v>716</v>
      </c>
      <c r="M2" s="19">
        <v>10800000</v>
      </c>
      <c r="N2" s="19">
        <f>M2*0.19</f>
        <v>2052000</v>
      </c>
      <c r="O2" s="19">
        <f t="shared" ref="O2:O65" si="0">K2*(M2+N2)</f>
        <v>38556000</v>
      </c>
      <c r="P2" s="17" t="s">
        <v>570</v>
      </c>
    </row>
    <row r="3" spans="1:16" x14ac:dyDescent="0.3">
      <c r="A3" s="9" t="s">
        <v>690</v>
      </c>
      <c r="B3" s="10" t="s">
        <v>712</v>
      </c>
      <c r="C3" s="11" t="s">
        <v>713</v>
      </c>
      <c r="D3" s="12">
        <v>43929</v>
      </c>
      <c r="E3" s="12">
        <v>43929</v>
      </c>
      <c r="F3" s="13">
        <v>15232000</v>
      </c>
      <c r="G3" s="14">
        <v>0</v>
      </c>
      <c r="H3" s="9" t="s">
        <v>714</v>
      </c>
      <c r="I3" s="15">
        <v>24319928</v>
      </c>
      <c r="J3" s="16" t="s">
        <v>715</v>
      </c>
      <c r="K3" s="17">
        <v>2</v>
      </c>
      <c r="L3" s="18" t="s">
        <v>716</v>
      </c>
      <c r="M3" s="19">
        <v>500000</v>
      </c>
      <c r="N3" s="19">
        <f t="shared" ref="N3:N20" si="1">M3*0.19</f>
        <v>95000</v>
      </c>
      <c r="O3" s="19">
        <f t="shared" si="0"/>
        <v>1190000</v>
      </c>
      <c r="P3" s="17" t="s">
        <v>570</v>
      </c>
    </row>
    <row r="4" spans="1:16" x14ac:dyDescent="0.3">
      <c r="A4" s="9" t="s">
        <v>690</v>
      </c>
      <c r="B4" s="10" t="s">
        <v>712</v>
      </c>
      <c r="C4" s="11" t="s">
        <v>713</v>
      </c>
      <c r="D4" s="12">
        <v>43929</v>
      </c>
      <c r="E4" s="12">
        <v>43929</v>
      </c>
      <c r="F4" s="13">
        <v>15232000</v>
      </c>
      <c r="G4" s="14">
        <v>0</v>
      </c>
      <c r="H4" s="9" t="s">
        <v>714</v>
      </c>
      <c r="I4" s="15">
        <v>24319928</v>
      </c>
      <c r="J4" s="16" t="s">
        <v>717</v>
      </c>
      <c r="K4" s="17">
        <v>2</v>
      </c>
      <c r="L4" s="18" t="s">
        <v>716</v>
      </c>
      <c r="M4" s="19">
        <v>600000</v>
      </c>
      <c r="N4" s="19">
        <f t="shared" si="1"/>
        <v>114000</v>
      </c>
      <c r="O4" s="19">
        <f t="shared" si="0"/>
        <v>1428000</v>
      </c>
      <c r="P4" s="17" t="s">
        <v>570</v>
      </c>
    </row>
    <row r="5" spans="1:16" x14ac:dyDescent="0.3">
      <c r="A5" s="9" t="s">
        <v>690</v>
      </c>
      <c r="B5" s="10" t="s">
        <v>712</v>
      </c>
      <c r="C5" s="11" t="s">
        <v>713</v>
      </c>
      <c r="D5" s="12">
        <v>43929</v>
      </c>
      <c r="E5" s="12">
        <v>43929</v>
      </c>
      <c r="F5" s="13">
        <v>15232000</v>
      </c>
      <c r="G5" s="14">
        <v>0</v>
      </c>
      <c r="H5" s="9" t="s">
        <v>714</v>
      </c>
      <c r="I5" s="15">
        <v>24319928</v>
      </c>
      <c r="J5" s="16" t="s">
        <v>718</v>
      </c>
      <c r="K5" s="17">
        <v>2</v>
      </c>
      <c r="L5" s="18" t="s">
        <v>716</v>
      </c>
      <c r="M5" s="19">
        <v>550000</v>
      </c>
      <c r="N5" s="19">
        <f t="shared" si="1"/>
        <v>104500</v>
      </c>
      <c r="O5" s="19">
        <f t="shared" si="0"/>
        <v>1309000</v>
      </c>
      <c r="P5" s="17" t="s">
        <v>570</v>
      </c>
    </row>
    <row r="6" spans="1:16" x14ac:dyDescent="0.3">
      <c r="A6" s="9" t="s">
        <v>690</v>
      </c>
      <c r="B6" s="10" t="s">
        <v>712</v>
      </c>
      <c r="C6" s="11" t="s">
        <v>713</v>
      </c>
      <c r="D6" s="12">
        <v>43929</v>
      </c>
      <c r="E6" s="12">
        <v>43929</v>
      </c>
      <c r="F6" s="13">
        <v>15232000</v>
      </c>
      <c r="G6" s="14">
        <v>0</v>
      </c>
      <c r="H6" s="9" t="s">
        <v>714</v>
      </c>
      <c r="I6" s="15">
        <v>24319928</v>
      </c>
      <c r="J6" s="16" t="s">
        <v>719</v>
      </c>
      <c r="K6" s="17">
        <v>2</v>
      </c>
      <c r="L6" s="18" t="s">
        <v>716</v>
      </c>
      <c r="M6" s="19">
        <v>650000</v>
      </c>
      <c r="N6" s="19">
        <f t="shared" si="1"/>
        <v>123500</v>
      </c>
      <c r="O6" s="19">
        <f t="shared" si="0"/>
        <v>1547000</v>
      </c>
      <c r="P6" s="17" t="s">
        <v>570</v>
      </c>
    </row>
    <row r="7" spans="1:16" x14ac:dyDescent="0.3">
      <c r="A7" s="9" t="s">
        <v>690</v>
      </c>
      <c r="B7" s="10" t="s">
        <v>712</v>
      </c>
      <c r="C7" s="11" t="s">
        <v>713</v>
      </c>
      <c r="D7" s="12">
        <v>43929</v>
      </c>
      <c r="E7" s="12">
        <v>43929</v>
      </c>
      <c r="F7" s="13">
        <v>15232000</v>
      </c>
      <c r="G7" s="14">
        <v>0</v>
      </c>
      <c r="H7" s="9" t="s">
        <v>714</v>
      </c>
      <c r="I7" s="15">
        <v>24319928</v>
      </c>
      <c r="J7" s="16" t="s">
        <v>720</v>
      </c>
      <c r="K7" s="17">
        <v>2</v>
      </c>
      <c r="L7" s="18" t="s">
        <v>716</v>
      </c>
      <c r="M7" s="19">
        <v>600000</v>
      </c>
      <c r="N7" s="19">
        <f t="shared" si="1"/>
        <v>114000</v>
      </c>
      <c r="O7" s="19">
        <f t="shared" si="0"/>
        <v>1428000</v>
      </c>
      <c r="P7" s="17" t="s">
        <v>570</v>
      </c>
    </row>
    <row r="8" spans="1:16" x14ac:dyDescent="0.3">
      <c r="A8" s="9" t="s">
        <v>690</v>
      </c>
      <c r="B8" s="10" t="s">
        <v>712</v>
      </c>
      <c r="C8" s="11" t="s">
        <v>713</v>
      </c>
      <c r="D8" s="12">
        <v>43929</v>
      </c>
      <c r="E8" s="12">
        <v>43929</v>
      </c>
      <c r="F8" s="13">
        <v>15232000</v>
      </c>
      <c r="G8" s="14">
        <v>0</v>
      </c>
      <c r="H8" s="9" t="s">
        <v>714</v>
      </c>
      <c r="I8" s="15">
        <v>24319928</v>
      </c>
      <c r="J8" s="16" t="s">
        <v>721</v>
      </c>
      <c r="K8" s="17">
        <v>2</v>
      </c>
      <c r="L8" s="18" t="s">
        <v>716</v>
      </c>
      <c r="M8" s="19">
        <v>550000</v>
      </c>
      <c r="N8" s="19">
        <f t="shared" si="1"/>
        <v>104500</v>
      </c>
      <c r="O8" s="19">
        <f t="shared" si="0"/>
        <v>1309000</v>
      </c>
      <c r="P8" s="17" t="s">
        <v>570</v>
      </c>
    </row>
    <row r="9" spans="1:16" x14ac:dyDescent="0.3">
      <c r="A9" s="9" t="s">
        <v>690</v>
      </c>
      <c r="B9" s="10" t="s">
        <v>712</v>
      </c>
      <c r="C9" s="11" t="s">
        <v>713</v>
      </c>
      <c r="D9" s="12">
        <v>43929</v>
      </c>
      <c r="E9" s="12">
        <v>43929</v>
      </c>
      <c r="F9" s="13">
        <v>15232000</v>
      </c>
      <c r="G9" s="14">
        <v>0</v>
      </c>
      <c r="H9" s="9" t="s">
        <v>714</v>
      </c>
      <c r="I9" s="15">
        <v>24319928</v>
      </c>
      <c r="J9" s="16" t="s">
        <v>722</v>
      </c>
      <c r="K9" s="17">
        <v>2</v>
      </c>
      <c r="L9" s="18" t="s">
        <v>716</v>
      </c>
      <c r="M9" s="19">
        <v>500000</v>
      </c>
      <c r="N9" s="19">
        <f t="shared" si="1"/>
        <v>95000</v>
      </c>
      <c r="O9" s="19">
        <f t="shared" si="0"/>
        <v>1190000</v>
      </c>
      <c r="P9" s="17" t="s">
        <v>570</v>
      </c>
    </row>
    <row r="10" spans="1:16" x14ac:dyDescent="0.3">
      <c r="A10" s="9" t="s">
        <v>690</v>
      </c>
      <c r="B10" s="10" t="s">
        <v>712</v>
      </c>
      <c r="C10" s="11" t="s">
        <v>713</v>
      </c>
      <c r="D10" s="12">
        <v>43929</v>
      </c>
      <c r="E10" s="12">
        <v>43929</v>
      </c>
      <c r="F10" s="13">
        <v>15232000</v>
      </c>
      <c r="G10" s="14">
        <v>0</v>
      </c>
      <c r="H10" s="9" t="s">
        <v>714</v>
      </c>
      <c r="I10" s="15">
        <v>24319928</v>
      </c>
      <c r="J10" s="16" t="s">
        <v>723</v>
      </c>
      <c r="K10" s="17">
        <v>2</v>
      </c>
      <c r="L10" s="18" t="s">
        <v>716</v>
      </c>
      <c r="M10" s="19">
        <v>500000</v>
      </c>
      <c r="N10" s="19">
        <f t="shared" si="1"/>
        <v>95000</v>
      </c>
      <c r="O10" s="19">
        <f t="shared" si="0"/>
        <v>1190000</v>
      </c>
      <c r="P10" s="17" t="s">
        <v>570</v>
      </c>
    </row>
    <row r="11" spans="1:16" x14ac:dyDescent="0.3">
      <c r="A11" s="9" t="s">
        <v>690</v>
      </c>
      <c r="B11" s="10" t="s">
        <v>712</v>
      </c>
      <c r="C11" s="11" t="s">
        <v>713</v>
      </c>
      <c r="D11" s="12">
        <v>43929</v>
      </c>
      <c r="E11" s="12">
        <v>43929</v>
      </c>
      <c r="F11" s="13">
        <v>15232000</v>
      </c>
      <c r="G11" s="14">
        <v>0</v>
      </c>
      <c r="H11" s="9" t="s">
        <v>714</v>
      </c>
      <c r="I11" s="15">
        <v>24319928</v>
      </c>
      <c r="J11" s="16" t="s">
        <v>724</v>
      </c>
      <c r="K11" s="17">
        <v>2</v>
      </c>
      <c r="L11" s="18" t="s">
        <v>716</v>
      </c>
      <c r="M11" s="19">
        <v>800000</v>
      </c>
      <c r="N11" s="19">
        <f t="shared" si="1"/>
        <v>152000</v>
      </c>
      <c r="O11" s="19">
        <f t="shared" si="0"/>
        <v>1904000</v>
      </c>
      <c r="P11" s="17" t="s">
        <v>570</v>
      </c>
    </row>
    <row r="12" spans="1:16" x14ac:dyDescent="0.3">
      <c r="A12" s="9" t="s">
        <v>690</v>
      </c>
      <c r="B12" s="10" t="s">
        <v>712</v>
      </c>
      <c r="C12" s="11" t="s">
        <v>713</v>
      </c>
      <c r="D12" s="12">
        <v>43929</v>
      </c>
      <c r="E12" s="12">
        <v>43929</v>
      </c>
      <c r="F12" s="13">
        <v>15232000</v>
      </c>
      <c r="G12" s="14">
        <v>0</v>
      </c>
      <c r="H12" s="9" t="s">
        <v>714</v>
      </c>
      <c r="I12" s="15">
        <v>24319928</v>
      </c>
      <c r="J12" s="16" t="s">
        <v>725</v>
      </c>
      <c r="K12" s="17">
        <v>2</v>
      </c>
      <c r="L12" s="18" t="s">
        <v>716</v>
      </c>
      <c r="M12" s="19">
        <v>650000</v>
      </c>
      <c r="N12" s="19">
        <f t="shared" si="1"/>
        <v>123500</v>
      </c>
      <c r="O12" s="19">
        <f t="shared" si="0"/>
        <v>1547000</v>
      </c>
      <c r="P12" s="17" t="s">
        <v>570</v>
      </c>
    </row>
    <row r="13" spans="1:16" x14ac:dyDescent="0.3">
      <c r="A13" s="9" t="s">
        <v>690</v>
      </c>
      <c r="B13" s="10" t="s">
        <v>712</v>
      </c>
      <c r="C13" s="11" t="s">
        <v>713</v>
      </c>
      <c r="D13" s="12">
        <v>43929</v>
      </c>
      <c r="E13" s="12">
        <v>43929</v>
      </c>
      <c r="F13" s="13">
        <v>15232000</v>
      </c>
      <c r="G13" s="14">
        <v>0</v>
      </c>
      <c r="H13" s="9" t="s">
        <v>714</v>
      </c>
      <c r="I13" s="15">
        <v>24319928</v>
      </c>
      <c r="J13" s="16" t="s">
        <v>726</v>
      </c>
      <c r="K13" s="17">
        <v>2</v>
      </c>
      <c r="L13" s="18" t="s">
        <v>716</v>
      </c>
      <c r="M13" s="19">
        <v>500000</v>
      </c>
      <c r="N13" s="19">
        <f t="shared" si="1"/>
        <v>95000</v>
      </c>
      <c r="O13" s="19">
        <f t="shared" si="0"/>
        <v>1190000</v>
      </c>
      <c r="P13" s="17" t="s">
        <v>570</v>
      </c>
    </row>
    <row r="14" spans="1:16" x14ac:dyDescent="0.3">
      <c r="A14" s="9" t="s">
        <v>690</v>
      </c>
      <c r="B14" s="10" t="s">
        <v>712</v>
      </c>
      <c r="C14" s="11" t="s">
        <v>713</v>
      </c>
      <c r="D14" s="12">
        <v>43929</v>
      </c>
      <c r="E14" s="12">
        <v>43929</v>
      </c>
      <c r="F14" s="13">
        <v>15232000</v>
      </c>
      <c r="G14" s="14">
        <v>7616000</v>
      </c>
      <c r="H14" s="9" t="s">
        <v>714</v>
      </c>
      <c r="I14" s="15">
        <v>24319928</v>
      </c>
      <c r="J14" s="16" t="s">
        <v>727</v>
      </c>
      <c r="K14" s="17">
        <v>2</v>
      </c>
      <c r="L14" s="18" t="s">
        <v>716</v>
      </c>
      <c r="M14" s="19">
        <v>650000</v>
      </c>
      <c r="N14" s="19">
        <f t="shared" si="1"/>
        <v>123500</v>
      </c>
      <c r="O14" s="19">
        <f t="shared" si="0"/>
        <v>1547000</v>
      </c>
      <c r="P14" s="17" t="s">
        <v>570</v>
      </c>
    </row>
    <row r="15" spans="1:16" x14ac:dyDescent="0.3">
      <c r="A15" s="9" t="s">
        <v>690</v>
      </c>
      <c r="B15" s="10" t="s">
        <v>712</v>
      </c>
      <c r="C15" s="11" t="s">
        <v>713</v>
      </c>
      <c r="D15" s="12">
        <v>43929</v>
      </c>
      <c r="E15" s="12">
        <v>43929</v>
      </c>
      <c r="F15" s="13">
        <v>15232000</v>
      </c>
      <c r="G15" s="14">
        <v>7616000</v>
      </c>
      <c r="H15" s="9" t="s">
        <v>714</v>
      </c>
      <c r="I15" s="15">
        <v>24319928</v>
      </c>
      <c r="J15" s="16" t="s">
        <v>728</v>
      </c>
      <c r="K15" s="17">
        <v>2</v>
      </c>
      <c r="L15" s="18" t="s">
        <v>716</v>
      </c>
      <c r="M15" s="19">
        <v>650000</v>
      </c>
      <c r="N15" s="19">
        <f t="shared" si="1"/>
        <v>123500</v>
      </c>
      <c r="O15" s="19">
        <f t="shared" si="0"/>
        <v>1547000</v>
      </c>
      <c r="P15" s="17" t="s">
        <v>570</v>
      </c>
    </row>
    <row r="16" spans="1:16" x14ac:dyDescent="0.3">
      <c r="A16" s="9" t="s">
        <v>690</v>
      </c>
      <c r="B16" s="10" t="s">
        <v>712</v>
      </c>
      <c r="C16" s="11" t="s">
        <v>713</v>
      </c>
      <c r="D16" s="12">
        <v>43929</v>
      </c>
      <c r="E16" s="12">
        <v>43929</v>
      </c>
      <c r="F16" s="13">
        <v>15232000</v>
      </c>
      <c r="G16" s="14">
        <v>7616000</v>
      </c>
      <c r="H16" s="9" t="s">
        <v>714</v>
      </c>
      <c r="I16" s="15">
        <v>24319928</v>
      </c>
      <c r="J16" s="16" t="s">
        <v>729</v>
      </c>
      <c r="K16" s="17">
        <v>2</v>
      </c>
      <c r="L16" s="18" t="s">
        <v>716</v>
      </c>
      <c r="M16" s="19">
        <v>500000</v>
      </c>
      <c r="N16" s="19">
        <f t="shared" si="1"/>
        <v>95000</v>
      </c>
      <c r="O16" s="19">
        <f t="shared" si="0"/>
        <v>1190000</v>
      </c>
      <c r="P16" s="17" t="s">
        <v>570</v>
      </c>
    </row>
    <row r="17" spans="1:16" x14ac:dyDescent="0.3">
      <c r="A17" s="9" t="s">
        <v>690</v>
      </c>
      <c r="B17" s="10" t="s">
        <v>712</v>
      </c>
      <c r="C17" s="11" t="s">
        <v>713</v>
      </c>
      <c r="D17" s="12">
        <v>43929</v>
      </c>
      <c r="E17" s="12">
        <v>43929</v>
      </c>
      <c r="F17" s="13">
        <v>15232000</v>
      </c>
      <c r="G17" s="14">
        <v>7616000</v>
      </c>
      <c r="H17" s="9" t="s">
        <v>714</v>
      </c>
      <c r="I17" s="15">
        <v>24319928</v>
      </c>
      <c r="J17" s="16" t="s">
        <v>730</v>
      </c>
      <c r="K17" s="17">
        <v>2</v>
      </c>
      <c r="L17" s="18" t="s">
        <v>716</v>
      </c>
      <c r="M17" s="19">
        <v>600000</v>
      </c>
      <c r="N17" s="19">
        <f t="shared" si="1"/>
        <v>114000</v>
      </c>
      <c r="O17" s="19">
        <f t="shared" si="0"/>
        <v>1428000</v>
      </c>
      <c r="P17" s="17" t="s">
        <v>570</v>
      </c>
    </row>
    <row r="18" spans="1:16" x14ac:dyDescent="0.3">
      <c r="A18" s="9" t="s">
        <v>690</v>
      </c>
      <c r="B18" s="10" t="s">
        <v>712</v>
      </c>
      <c r="C18" s="11" t="s">
        <v>713</v>
      </c>
      <c r="D18" s="12">
        <v>43929</v>
      </c>
      <c r="E18" s="12">
        <v>43929</v>
      </c>
      <c r="F18" s="13">
        <v>15232000</v>
      </c>
      <c r="G18" s="14">
        <v>7616000</v>
      </c>
      <c r="H18" s="9" t="s">
        <v>714</v>
      </c>
      <c r="I18" s="15">
        <v>24319928</v>
      </c>
      <c r="J18" s="16" t="s">
        <v>731</v>
      </c>
      <c r="K18" s="17">
        <v>2</v>
      </c>
      <c r="L18" s="18" t="s">
        <v>716</v>
      </c>
      <c r="M18" s="19">
        <v>800000</v>
      </c>
      <c r="N18" s="19">
        <f t="shared" si="1"/>
        <v>152000</v>
      </c>
      <c r="O18" s="19">
        <f t="shared" si="0"/>
        <v>1904000</v>
      </c>
      <c r="P18" s="17" t="s">
        <v>570</v>
      </c>
    </row>
    <row r="19" spans="1:16" x14ac:dyDescent="0.3">
      <c r="A19" s="33" t="s">
        <v>690</v>
      </c>
      <c r="B19" s="33" t="s">
        <v>802</v>
      </c>
      <c r="C19" s="33" t="s">
        <v>1810</v>
      </c>
      <c r="D19" s="34">
        <v>44181</v>
      </c>
      <c r="E19" s="34">
        <v>44181</v>
      </c>
      <c r="F19" s="35">
        <v>15000000</v>
      </c>
      <c r="G19" s="14">
        <v>0</v>
      </c>
      <c r="H19" s="33" t="s">
        <v>803</v>
      </c>
      <c r="I19" s="36">
        <v>24319928</v>
      </c>
      <c r="J19" s="33" t="s">
        <v>1873</v>
      </c>
      <c r="K19" s="17">
        <v>29</v>
      </c>
      <c r="L19" s="29" t="s">
        <v>716</v>
      </c>
      <c r="M19" s="19">
        <v>434656.55</v>
      </c>
      <c r="N19" s="19">
        <f t="shared" si="1"/>
        <v>82584.744500000001</v>
      </c>
      <c r="O19" s="19">
        <f t="shared" si="0"/>
        <v>14999997.540499998</v>
      </c>
      <c r="P19" s="17" t="s">
        <v>570</v>
      </c>
    </row>
    <row r="20" spans="1:16" x14ac:dyDescent="0.3">
      <c r="A20" s="9" t="s">
        <v>861</v>
      </c>
      <c r="B20" s="10" t="s">
        <v>903</v>
      </c>
      <c r="C20" s="11" t="s">
        <v>904</v>
      </c>
      <c r="D20" s="12" t="s">
        <v>905</v>
      </c>
      <c r="E20" s="12" t="s">
        <v>905</v>
      </c>
      <c r="F20" s="13">
        <v>75000000</v>
      </c>
      <c r="G20" s="14">
        <v>0</v>
      </c>
      <c r="H20" s="9" t="s">
        <v>906</v>
      </c>
      <c r="I20" s="15">
        <v>900306020</v>
      </c>
      <c r="J20" s="16" t="s">
        <v>907</v>
      </c>
      <c r="K20" s="17">
        <v>30000</v>
      </c>
      <c r="L20" s="18" t="s">
        <v>908</v>
      </c>
      <c r="M20" s="19">
        <v>2100.840336134454</v>
      </c>
      <c r="N20" s="19">
        <f t="shared" si="1"/>
        <v>399.15966386554624</v>
      </c>
      <c r="O20" s="19">
        <f t="shared" si="0"/>
        <v>75000000</v>
      </c>
      <c r="P20" s="17" t="s">
        <v>570</v>
      </c>
    </row>
    <row r="21" spans="1:16" x14ac:dyDescent="0.3">
      <c r="A21" s="9" t="s">
        <v>1091</v>
      </c>
      <c r="B21" s="10" t="s">
        <v>2053</v>
      </c>
      <c r="C21" s="11" t="s">
        <v>1149</v>
      </c>
      <c r="D21" s="12">
        <v>44001</v>
      </c>
      <c r="E21" s="12">
        <v>44005</v>
      </c>
      <c r="F21" s="13">
        <v>44287000</v>
      </c>
      <c r="G21" s="14">
        <v>0</v>
      </c>
      <c r="H21" s="9" t="s">
        <v>1150</v>
      </c>
      <c r="I21" s="15">
        <v>1082127888</v>
      </c>
      <c r="J21" s="16" t="s">
        <v>1151</v>
      </c>
      <c r="K21" s="17">
        <v>3</v>
      </c>
      <c r="L21" s="18" t="s">
        <v>716</v>
      </c>
      <c r="M21" s="19">
        <v>938000</v>
      </c>
      <c r="N21" s="19">
        <v>0</v>
      </c>
      <c r="O21" s="19">
        <f t="shared" si="0"/>
        <v>2814000</v>
      </c>
      <c r="P21" s="17" t="s">
        <v>570</v>
      </c>
    </row>
    <row r="22" spans="1:16" x14ac:dyDescent="0.3">
      <c r="A22" s="9" t="s">
        <v>1091</v>
      </c>
      <c r="B22" s="10" t="s">
        <v>2053</v>
      </c>
      <c r="C22" s="11" t="s">
        <v>1149</v>
      </c>
      <c r="D22" s="12">
        <v>44001</v>
      </c>
      <c r="E22" s="12">
        <v>44005</v>
      </c>
      <c r="F22" s="13">
        <v>44287000</v>
      </c>
      <c r="G22" s="14">
        <v>0</v>
      </c>
      <c r="H22" s="9" t="s">
        <v>1150</v>
      </c>
      <c r="I22" s="15">
        <v>1082127888</v>
      </c>
      <c r="J22" s="16" t="s">
        <v>1152</v>
      </c>
      <c r="K22" s="17">
        <v>3</v>
      </c>
      <c r="L22" s="18" t="s">
        <v>716</v>
      </c>
      <c r="M22" s="19">
        <v>301500</v>
      </c>
      <c r="N22" s="19">
        <v>0</v>
      </c>
      <c r="O22" s="19">
        <f t="shared" si="0"/>
        <v>904500</v>
      </c>
      <c r="P22" s="17" t="s">
        <v>570</v>
      </c>
    </row>
    <row r="23" spans="1:16" x14ac:dyDescent="0.3">
      <c r="A23" s="9" t="s">
        <v>1091</v>
      </c>
      <c r="B23" s="10" t="s">
        <v>2053</v>
      </c>
      <c r="C23" s="11" t="s">
        <v>1149</v>
      </c>
      <c r="D23" s="12">
        <v>44001</v>
      </c>
      <c r="E23" s="12">
        <v>44005</v>
      </c>
      <c r="F23" s="13">
        <v>44287000</v>
      </c>
      <c r="G23" s="14">
        <v>0</v>
      </c>
      <c r="H23" s="9" t="s">
        <v>1150</v>
      </c>
      <c r="I23" s="15">
        <v>1082127888</v>
      </c>
      <c r="J23" s="16" t="s">
        <v>1153</v>
      </c>
      <c r="K23" s="17">
        <v>3</v>
      </c>
      <c r="L23" s="18" t="s">
        <v>716</v>
      </c>
      <c r="M23" s="19">
        <v>301500</v>
      </c>
      <c r="N23" s="19">
        <v>0</v>
      </c>
      <c r="O23" s="19">
        <f t="shared" si="0"/>
        <v>904500</v>
      </c>
      <c r="P23" s="17" t="s">
        <v>570</v>
      </c>
    </row>
    <row r="24" spans="1:16" x14ac:dyDescent="0.3">
      <c r="A24" s="9" t="s">
        <v>1091</v>
      </c>
      <c r="B24" s="10" t="s">
        <v>2053</v>
      </c>
      <c r="C24" s="11" t="s">
        <v>1149</v>
      </c>
      <c r="D24" s="12">
        <v>44001</v>
      </c>
      <c r="E24" s="12">
        <v>44005</v>
      </c>
      <c r="F24" s="13">
        <v>44287000</v>
      </c>
      <c r="G24" s="14">
        <v>0</v>
      </c>
      <c r="H24" s="9" t="s">
        <v>1150</v>
      </c>
      <c r="I24" s="15">
        <v>1082127888</v>
      </c>
      <c r="J24" s="16" t="s">
        <v>1154</v>
      </c>
      <c r="K24" s="17">
        <v>3</v>
      </c>
      <c r="L24" s="18" t="s">
        <v>716</v>
      </c>
      <c r="M24" s="19">
        <v>301500</v>
      </c>
      <c r="N24" s="19">
        <v>0</v>
      </c>
      <c r="O24" s="19">
        <f t="shared" si="0"/>
        <v>904500</v>
      </c>
      <c r="P24" s="17" t="s">
        <v>570</v>
      </c>
    </row>
    <row r="25" spans="1:16" x14ac:dyDescent="0.3">
      <c r="A25" s="9" t="s">
        <v>1091</v>
      </c>
      <c r="B25" s="10" t="s">
        <v>2053</v>
      </c>
      <c r="C25" s="11" t="s">
        <v>1149</v>
      </c>
      <c r="D25" s="12">
        <v>44001</v>
      </c>
      <c r="E25" s="12">
        <v>44005</v>
      </c>
      <c r="F25" s="13">
        <v>44287000</v>
      </c>
      <c r="G25" s="14">
        <v>0</v>
      </c>
      <c r="H25" s="9" t="s">
        <v>1150</v>
      </c>
      <c r="I25" s="15">
        <v>1082127888</v>
      </c>
      <c r="J25" s="16" t="s">
        <v>1155</v>
      </c>
      <c r="K25" s="17">
        <v>3</v>
      </c>
      <c r="L25" s="18" t="s">
        <v>716</v>
      </c>
      <c r="M25" s="19">
        <v>301500</v>
      </c>
      <c r="N25" s="19">
        <v>0</v>
      </c>
      <c r="O25" s="19">
        <f t="shared" si="0"/>
        <v>904500</v>
      </c>
      <c r="P25" s="17" t="s">
        <v>570</v>
      </c>
    </row>
    <row r="26" spans="1:16" x14ac:dyDescent="0.3">
      <c r="A26" s="9" t="s">
        <v>1091</v>
      </c>
      <c r="B26" s="10" t="s">
        <v>2053</v>
      </c>
      <c r="C26" s="11" t="s">
        <v>1149</v>
      </c>
      <c r="D26" s="12">
        <v>44001</v>
      </c>
      <c r="E26" s="12">
        <v>44005</v>
      </c>
      <c r="F26" s="13">
        <v>44287000</v>
      </c>
      <c r="G26" s="14">
        <v>0</v>
      </c>
      <c r="H26" s="9" t="s">
        <v>1150</v>
      </c>
      <c r="I26" s="15">
        <v>1082127888</v>
      </c>
      <c r="J26" s="16" t="s">
        <v>1156</v>
      </c>
      <c r="K26" s="17">
        <v>3</v>
      </c>
      <c r="L26" s="18" t="s">
        <v>716</v>
      </c>
      <c r="M26" s="19">
        <v>301500</v>
      </c>
      <c r="N26" s="19">
        <v>0</v>
      </c>
      <c r="O26" s="19">
        <f t="shared" si="0"/>
        <v>904500</v>
      </c>
      <c r="P26" s="17" t="s">
        <v>570</v>
      </c>
    </row>
    <row r="27" spans="1:16" x14ac:dyDescent="0.3">
      <c r="A27" s="9" t="s">
        <v>1091</v>
      </c>
      <c r="B27" s="10" t="s">
        <v>2053</v>
      </c>
      <c r="C27" s="11" t="s">
        <v>1149</v>
      </c>
      <c r="D27" s="12">
        <v>44001</v>
      </c>
      <c r="E27" s="12">
        <v>44005</v>
      </c>
      <c r="F27" s="13">
        <v>44287000</v>
      </c>
      <c r="G27" s="14">
        <v>0</v>
      </c>
      <c r="H27" s="9" t="s">
        <v>1150</v>
      </c>
      <c r="I27" s="15">
        <v>1082127888</v>
      </c>
      <c r="J27" s="16" t="s">
        <v>1157</v>
      </c>
      <c r="K27" s="17">
        <v>2</v>
      </c>
      <c r="L27" s="18" t="s">
        <v>716</v>
      </c>
      <c r="M27" s="19">
        <v>201000</v>
      </c>
      <c r="N27" s="19">
        <v>0</v>
      </c>
      <c r="O27" s="19">
        <f t="shared" si="0"/>
        <v>402000</v>
      </c>
      <c r="P27" s="17" t="s">
        <v>570</v>
      </c>
    </row>
    <row r="28" spans="1:16" x14ac:dyDescent="0.3">
      <c r="A28" s="9" t="s">
        <v>1091</v>
      </c>
      <c r="B28" s="10" t="s">
        <v>2053</v>
      </c>
      <c r="C28" s="11" t="s">
        <v>1149</v>
      </c>
      <c r="D28" s="12">
        <v>44001</v>
      </c>
      <c r="E28" s="12">
        <v>44005</v>
      </c>
      <c r="F28" s="13">
        <v>44287000</v>
      </c>
      <c r="G28" s="14">
        <v>0</v>
      </c>
      <c r="H28" s="9" t="s">
        <v>1150</v>
      </c>
      <c r="I28" s="15">
        <v>1082127888</v>
      </c>
      <c r="J28" s="16" t="s">
        <v>1158</v>
      </c>
      <c r="K28" s="17">
        <v>3</v>
      </c>
      <c r="L28" s="18" t="s">
        <v>716</v>
      </c>
      <c r="M28" s="19">
        <v>301500</v>
      </c>
      <c r="N28" s="19">
        <v>0</v>
      </c>
      <c r="O28" s="19">
        <f t="shared" si="0"/>
        <v>904500</v>
      </c>
      <c r="P28" s="17" t="s">
        <v>570</v>
      </c>
    </row>
    <row r="29" spans="1:16" x14ac:dyDescent="0.3">
      <c r="A29" s="9" t="s">
        <v>1091</v>
      </c>
      <c r="B29" s="10" t="s">
        <v>2053</v>
      </c>
      <c r="C29" s="11" t="s">
        <v>1149</v>
      </c>
      <c r="D29" s="12">
        <v>44001</v>
      </c>
      <c r="E29" s="12">
        <v>44005</v>
      </c>
      <c r="F29" s="13">
        <v>44287000</v>
      </c>
      <c r="G29" s="14">
        <v>0</v>
      </c>
      <c r="H29" s="9" t="s">
        <v>1150</v>
      </c>
      <c r="I29" s="15">
        <v>1082127888</v>
      </c>
      <c r="J29" s="16" t="s">
        <v>1159</v>
      </c>
      <c r="K29" s="17">
        <v>2</v>
      </c>
      <c r="L29" s="18" t="s">
        <v>716</v>
      </c>
      <c r="M29" s="19">
        <v>234500</v>
      </c>
      <c r="N29" s="19">
        <v>0</v>
      </c>
      <c r="O29" s="19">
        <f t="shared" si="0"/>
        <v>469000</v>
      </c>
      <c r="P29" s="17" t="s">
        <v>570</v>
      </c>
    </row>
    <row r="30" spans="1:16" x14ac:dyDescent="0.3">
      <c r="A30" s="9" t="s">
        <v>1091</v>
      </c>
      <c r="B30" s="10" t="s">
        <v>2053</v>
      </c>
      <c r="C30" s="11" t="s">
        <v>1149</v>
      </c>
      <c r="D30" s="12">
        <v>44001</v>
      </c>
      <c r="E30" s="12">
        <v>44005</v>
      </c>
      <c r="F30" s="13">
        <v>44287000</v>
      </c>
      <c r="G30" s="14">
        <v>0</v>
      </c>
      <c r="H30" s="9" t="s">
        <v>1150</v>
      </c>
      <c r="I30" s="15">
        <v>1082127888</v>
      </c>
      <c r="J30" s="16" t="s">
        <v>1160</v>
      </c>
      <c r="K30" s="17">
        <v>2</v>
      </c>
      <c r="L30" s="18" t="s">
        <v>716</v>
      </c>
      <c r="M30" s="19">
        <v>234500</v>
      </c>
      <c r="N30" s="19">
        <v>0</v>
      </c>
      <c r="O30" s="19">
        <f t="shared" si="0"/>
        <v>469000</v>
      </c>
      <c r="P30" s="17" t="s">
        <v>570</v>
      </c>
    </row>
    <row r="31" spans="1:16" x14ac:dyDescent="0.3">
      <c r="A31" s="9" t="s">
        <v>1091</v>
      </c>
      <c r="B31" s="10" t="s">
        <v>2053</v>
      </c>
      <c r="C31" s="11" t="s">
        <v>1149</v>
      </c>
      <c r="D31" s="12">
        <v>44001</v>
      </c>
      <c r="E31" s="12">
        <v>44005</v>
      </c>
      <c r="F31" s="13">
        <v>44287000</v>
      </c>
      <c r="G31" s="14">
        <v>0</v>
      </c>
      <c r="H31" s="9" t="s">
        <v>1150</v>
      </c>
      <c r="I31" s="15">
        <v>1082127888</v>
      </c>
      <c r="J31" s="16" t="s">
        <v>1161</v>
      </c>
      <c r="K31" s="17">
        <v>1</v>
      </c>
      <c r="L31" s="18" t="s">
        <v>716</v>
      </c>
      <c r="M31" s="19">
        <v>201000</v>
      </c>
      <c r="N31" s="19">
        <v>0</v>
      </c>
      <c r="O31" s="19">
        <f t="shared" si="0"/>
        <v>201000</v>
      </c>
      <c r="P31" s="17" t="s">
        <v>570</v>
      </c>
    </row>
    <row r="32" spans="1:16" x14ac:dyDescent="0.3">
      <c r="A32" s="9" t="s">
        <v>1091</v>
      </c>
      <c r="B32" s="10" t="s">
        <v>2053</v>
      </c>
      <c r="C32" s="11" t="s">
        <v>1149</v>
      </c>
      <c r="D32" s="12">
        <v>44001</v>
      </c>
      <c r="E32" s="12">
        <v>44005</v>
      </c>
      <c r="F32" s="13">
        <v>44287000</v>
      </c>
      <c r="G32" s="14">
        <v>0</v>
      </c>
      <c r="H32" s="9" t="s">
        <v>1150</v>
      </c>
      <c r="I32" s="15">
        <v>1082127888</v>
      </c>
      <c r="J32" s="16" t="s">
        <v>1162</v>
      </c>
      <c r="K32" s="17">
        <v>1</v>
      </c>
      <c r="L32" s="18" t="s">
        <v>716</v>
      </c>
      <c r="M32" s="19">
        <v>201000</v>
      </c>
      <c r="N32" s="19">
        <v>0</v>
      </c>
      <c r="O32" s="19">
        <f t="shared" si="0"/>
        <v>201000</v>
      </c>
      <c r="P32" s="17" t="s">
        <v>570</v>
      </c>
    </row>
    <row r="33" spans="1:16" x14ac:dyDescent="0.3">
      <c r="A33" s="9" t="s">
        <v>1091</v>
      </c>
      <c r="B33" s="10" t="s">
        <v>2053</v>
      </c>
      <c r="C33" s="11" t="s">
        <v>1149</v>
      </c>
      <c r="D33" s="12">
        <v>44001</v>
      </c>
      <c r="E33" s="12">
        <v>44005</v>
      </c>
      <c r="F33" s="13">
        <v>44287000</v>
      </c>
      <c r="G33" s="14">
        <v>0</v>
      </c>
      <c r="H33" s="9" t="s">
        <v>1150</v>
      </c>
      <c r="I33" s="15">
        <v>1082127888</v>
      </c>
      <c r="J33" s="16" t="s">
        <v>1163</v>
      </c>
      <c r="K33" s="17">
        <v>2</v>
      </c>
      <c r="L33" s="18" t="s">
        <v>716</v>
      </c>
      <c r="M33" s="19">
        <v>201000</v>
      </c>
      <c r="N33" s="19">
        <v>0</v>
      </c>
      <c r="O33" s="19">
        <f t="shared" si="0"/>
        <v>402000</v>
      </c>
      <c r="P33" s="17" t="s">
        <v>570</v>
      </c>
    </row>
    <row r="34" spans="1:16" x14ac:dyDescent="0.3">
      <c r="A34" s="9" t="s">
        <v>1091</v>
      </c>
      <c r="B34" s="10" t="s">
        <v>2053</v>
      </c>
      <c r="C34" s="11" t="s">
        <v>1149</v>
      </c>
      <c r="D34" s="12">
        <v>44001</v>
      </c>
      <c r="E34" s="12">
        <v>44005</v>
      </c>
      <c r="F34" s="13">
        <v>44287000</v>
      </c>
      <c r="G34" s="14">
        <v>0</v>
      </c>
      <c r="H34" s="9" t="s">
        <v>1150</v>
      </c>
      <c r="I34" s="15">
        <v>1082127888</v>
      </c>
      <c r="J34" s="16" t="s">
        <v>1164</v>
      </c>
      <c r="K34" s="17">
        <v>2</v>
      </c>
      <c r="L34" s="18" t="s">
        <v>716</v>
      </c>
      <c r="M34" s="19">
        <v>234500</v>
      </c>
      <c r="N34" s="19">
        <v>0</v>
      </c>
      <c r="O34" s="19">
        <f t="shared" si="0"/>
        <v>469000</v>
      </c>
      <c r="P34" s="17" t="s">
        <v>570</v>
      </c>
    </row>
    <row r="35" spans="1:16" x14ac:dyDescent="0.3">
      <c r="A35" s="9" t="s">
        <v>1091</v>
      </c>
      <c r="B35" s="10" t="s">
        <v>2053</v>
      </c>
      <c r="C35" s="11" t="s">
        <v>1149</v>
      </c>
      <c r="D35" s="12">
        <v>44001</v>
      </c>
      <c r="E35" s="12">
        <v>44005</v>
      </c>
      <c r="F35" s="13">
        <v>44287000</v>
      </c>
      <c r="G35" s="14">
        <v>0</v>
      </c>
      <c r="H35" s="9" t="s">
        <v>1150</v>
      </c>
      <c r="I35" s="15">
        <v>1082127888</v>
      </c>
      <c r="J35" s="16" t="s">
        <v>1165</v>
      </c>
      <c r="K35" s="17">
        <v>1</v>
      </c>
      <c r="L35" s="18" t="s">
        <v>716</v>
      </c>
      <c r="M35" s="19">
        <v>201000</v>
      </c>
      <c r="N35" s="19">
        <v>0</v>
      </c>
      <c r="O35" s="19">
        <f t="shared" si="0"/>
        <v>201000</v>
      </c>
      <c r="P35" s="17" t="s">
        <v>570</v>
      </c>
    </row>
    <row r="36" spans="1:16" x14ac:dyDescent="0.3">
      <c r="A36" s="9" t="s">
        <v>1091</v>
      </c>
      <c r="B36" s="10" t="s">
        <v>2053</v>
      </c>
      <c r="C36" s="11" t="s">
        <v>1149</v>
      </c>
      <c r="D36" s="12">
        <v>44001</v>
      </c>
      <c r="E36" s="12">
        <v>44005</v>
      </c>
      <c r="F36" s="13">
        <v>44287000</v>
      </c>
      <c r="G36" s="14">
        <v>0</v>
      </c>
      <c r="H36" s="9" t="s">
        <v>1150</v>
      </c>
      <c r="I36" s="15">
        <v>1082127888</v>
      </c>
      <c r="J36" s="16" t="s">
        <v>1166</v>
      </c>
      <c r="K36" s="17">
        <v>1</v>
      </c>
      <c r="L36" s="18" t="s">
        <v>716</v>
      </c>
      <c r="M36" s="19">
        <v>268000</v>
      </c>
      <c r="N36" s="19">
        <v>0</v>
      </c>
      <c r="O36" s="19">
        <f t="shared" si="0"/>
        <v>268000</v>
      </c>
      <c r="P36" s="17" t="s">
        <v>570</v>
      </c>
    </row>
    <row r="37" spans="1:16" x14ac:dyDescent="0.3">
      <c r="A37" s="9" t="s">
        <v>1091</v>
      </c>
      <c r="B37" s="10" t="s">
        <v>2053</v>
      </c>
      <c r="C37" s="11" t="s">
        <v>1149</v>
      </c>
      <c r="D37" s="12">
        <v>44001</v>
      </c>
      <c r="E37" s="12">
        <v>44005</v>
      </c>
      <c r="F37" s="13">
        <v>44287000</v>
      </c>
      <c r="G37" s="14">
        <v>0</v>
      </c>
      <c r="H37" s="9" t="s">
        <v>1150</v>
      </c>
      <c r="I37" s="15">
        <v>1082127888</v>
      </c>
      <c r="J37" s="16" t="s">
        <v>1167</v>
      </c>
      <c r="K37" s="17">
        <v>1</v>
      </c>
      <c r="L37" s="18" t="s">
        <v>716</v>
      </c>
      <c r="M37" s="19">
        <v>268000</v>
      </c>
      <c r="N37" s="19">
        <v>0</v>
      </c>
      <c r="O37" s="19">
        <f t="shared" si="0"/>
        <v>268000</v>
      </c>
      <c r="P37" s="17" t="s">
        <v>570</v>
      </c>
    </row>
    <row r="38" spans="1:16" x14ac:dyDescent="0.3">
      <c r="A38" s="9" t="s">
        <v>1091</v>
      </c>
      <c r="B38" s="10" t="s">
        <v>2053</v>
      </c>
      <c r="C38" s="11" t="s">
        <v>1149</v>
      </c>
      <c r="D38" s="12">
        <v>44001</v>
      </c>
      <c r="E38" s="12">
        <v>44005</v>
      </c>
      <c r="F38" s="13">
        <v>44287000</v>
      </c>
      <c r="G38" s="14">
        <v>0</v>
      </c>
      <c r="H38" s="9" t="s">
        <v>1150</v>
      </c>
      <c r="I38" s="15">
        <v>1082127888</v>
      </c>
      <c r="J38" s="16" t="s">
        <v>1168</v>
      </c>
      <c r="K38" s="17">
        <v>2</v>
      </c>
      <c r="L38" s="18" t="s">
        <v>716</v>
      </c>
      <c r="M38" s="19">
        <v>335000</v>
      </c>
      <c r="N38" s="19">
        <v>0</v>
      </c>
      <c r="O38" s="19">
        <f t="shared" si="0"/>
        <v>670000</v>
      </c>
      <c r="P38" s="17" t="s">
        <v>570</v>
      </c>
    </row>
    <row r="39" spans="1:16" x14ac:dyDescent="0.3">
      <c r="A39" s="9" t="s">
        <v>1091</v>
      </c>
      <c r="B39" s="10" t="s">
        <v>2053</v>
      </c>
      <c r="C39" s="11" t="s">
        <v>1149</v>
      </c>
      <c r="D39" s="12">
        <v>44001</v>
      </c>
      <c r="E39" s="12">
        <v>44005</v>
      </c>
      <c r="F39" s="13">
        <v>44287000</v>
      </c>
      <c r="G39" s="14">
        <v>0</v>
      </c>
      <c r="H39" s="9" t="s">
        <v>1150</v>
      </c>
      <c r="I39" s="15">
        <v>1082127888</v>
      </c>
      <c r="J39" s="16" t="s">
        <v>1169</v>
      </c>
      <c r="K39" s="17">
        <v>1</v>
      </c>
      <c r="L39" s="18" t="s">
        <v>716</v>
      </c>
      <c r="M39" s="19">
        <v>201000</v>
      </c>
      <c r="N39" s="19">
        <v>0</v>
      </c>
      <c r="O39" s="19">
        <f t="shared" si="0"/>
        <v>201000</v>
      </c>
      <c r="P39" s="17" t="s">
        <v>570</v>
      </c>
    </row>
    <row r="40" spans="1:16" x14ac:dyDescent="0.3">
      <c r="A40" s="9" t="s">
        <v>1091</v>
      </c>
      <c r="B40" s="10" t="s">
        <v>2053</v>
      </c>
      <c r="C40" s="11" t="s">
        <v>1149</v>
      </c>
      <c r="D40" s="12">
        <v>44001</v>
      </c>
      <c r="E40" s="12">
        <v>44005</v>
      </c>
      <c r="F40" s="13">
        <v>44287000</v>
      </c>
      <c r="G40" s="14">
        <v>0</v>
      </c>
      <c r="H40" s="9" t="s">
        <v>1150</v>
      </c>
      <c r="I40" s="15">
        <v>1082127888</v>
      </c>
      <c r="J40" s="16" t="s">
        <v>1170</v>
      </c>
      <c r="K40" s="17">
        <v>2</v>
      </c>
      <c r="L40" s="18" t="s">
        <v>716</v>
      </c>
      <c r="M40" s="19">
        <v>268000</v>
      </c>
      <c r="N40" s="19">
        <v>0</v>
      </c>
      <c r="O40" s="19">
        <f t="shared" si="0"/>
        <v>536000</v>
      </c>
      <c r="P40" s="17" t="s">
        <v>570</v>
      </c>
    </row>
    <row r="41" spans="1:16" x14ac:dyDescent="0.3">
      <c r="A41" s="9" t="s">
        <v>1091</v>
      </c>
      <c r="B41" s="10" t="s">
        <v>2053</v>
      </c>
      <c r="C41" s="11" t="s">
        <v>1149</v>
      </c>
      <c r="D41" s="12">
        <v>44001</v>
      </c>
      <c r="E41" s="12">
        <v>44005</v>
      </c>
      <c r="F41" s="13">
        <v>44287000</v>
      </c>
      <c r="G41" s="14">
        <v>0</v>
      </c>
      <c r="H41" s="9" t="s">
        <v>1150</v>
      </c>
      <c r="I41" s="15">
        <v>1082127888</v>
      </c>
      <c r="J41" s="16" t="s">
        <v>1171</v>
      </c>
      <c r="K41" s="17">
        <v>1</v>
      </c>
      <c r="L41" s="18" t="s">
        <v>716</v>
      </c>
      <c r="M41" s="19">
        <v>201000</v>
      </c>
      <c r="N41" s="19">
        <v>0</v>
      </c>
      <c r="O41" s="19">
        <f t="shared" si="0"/>
        <v>201000</v>
      </c>
      <c r="P41" s="17" t="s">
        <v>570</v>
      </c>
    </row>
    <row r="42" spans="1:16" x14ac:dyDescent="0.3">
      <c r="A42" s="9" t="s">
        <v>1091</v>
      </c>
      <c r="B42" s="10" t="s">
        <v>2053</v>
      </c>
      <c r="C42" s="11" t="s">
        <v>1149</v>
      </c>
      <c r="D42" s="12">
        <v>44001</v>
      </c>
      <c r="E42" s="12">
        <v>44005</v>
      </c>
      <c r="F42" s="13">
        <v>44287000</v>
      </c>
      <c r="G42" s="14">
        <v>0</v>
      </c>
      <c r="H42" s="9" t="s">
        <v>1150</v>
      </c>
      <c r="I42" s="15">
        <v>1082127888</v>
      </c>
      <c r="J42" s="16" t="s">
        <v>1172</v>
      </c>
      <c r="K42" s="17">
        <v>1</v>
      </c>
      <c r="L42" s="18" t="s">
        <v>716</v>
      </c>
      <c r="M42" s="19">
        <v>167500</v>
      </c>
      <c r="N42" s="19">
        <v>0</v>
      </c>
      <c r="O42" s="19">
        <f t="shared" si="0"/>
        <v>167500</v>
      </c>
      <c r="P42" s="17" t="s">
        <v>570</v>
      </c>
    </row>
    <row r="43" spans="1:16" x14ac:dyDescent="0.3">
      <c r="A43" s="9" t="s">
        <v>1091</v>
      </c>
      <c r="B43" s="10" t="s">
        <v>2053</v>
      </c>
      <c r="C43" s="11" t="s">
        <v>1149</v>
      </c>
      <c r="D43" s="12">
        <v>44001</v>
      </c>
      <c r="E43" s="12">
        <v>44005</v>
      </c>
      <c r="F43" s="13">
        <v>44287000</v>
      </c>
      <c r="G43" s="14">
        <v>0</v>
      </c>
      <c r="H43" s="9" t="s">
        <v>1150</v>
      </c>
      <c r="I43" s="15">
        <v>1082127888</v>
      </c>
      <c r="J43" s="16" t="s">
        <v>1173</v>
      </c>
      <c r="K43" s="17">
        <v>1</v>
      </c>
      <c r="L43" s="18" t="s">
        <v>716</v>
      </c>
      <c r="M43" s="19">
        <v>201000</v>
      </c>
      <c r="N43" s="19">
        <v>0</v>
      </c>
      <c r="O43" s="19">
        <f t="shared" si="0"/>
        <v>201000</v>
      </c>
      <c r="P43" s="17" t="s">
        <v>570</v>
      </c>
    </row>
    <row r="44" spans="1:16" x14ac:dyDescent="0.3">
      <c r="A44" s="9" t="s">
        <v>1091</v>
      </c>
      <c r="B44" s="10" t="s">
        <v>2053</v>
      </c>
      <c r="C44" s="11" t="s">
        <v>1149</v>
      </c>
      <c r="D44" s="12">
        <v>44001</v>
      </c>
      <c r="E44" s="12">
        <v>44005</v>
      </c>
      <c r="F44" s="13">
        <v>44287000</v>
      </c>
      <c r="G44" s="14">
        <v>0</v>
      </c>
      <c r="H44" s="9" t="s">
        <v>1150</v>
      </c>
      <c r="I44" s="15">
        <v>1082127888</v>
      </c>
      <c r="J44" s="16" t="s">
        <v>1174</v>
      </c>
      <c r="K44" s="17">
        <v>1</v>
      </c>
      <c r="L44" s="18" t="s">
        <v>716</v>
      </c>
      <c r="M44" s="19">
        <v>201000</v>
      </c>
      <c r="N44" s="19">
        <v>0</v>
      </c>
      <c r="O44" s="19">
        <f t="shared" si="0"/>
        <v>201000</v>
      </c>
      <c r="P44" s="17" t="s">
        <v>570</v>
      </c>
    </row>
    <row r="45" spans="1:16" x14ac:dyDescent="0.3">
      <c r="A45" s="9" t="s">
        <v>1091</v>
      </c>
      <c r="B45" s="10" t="s">
        <v>2053</v>
      </c>
      <c r="C45" s="11" t="s">
        <v>1149</v>
      </c>
      <c r="D45" s="12">
        <v>44001</v>
      </c>
      <c r="E45" s="12">
        <v>44005</v>
      </c>
      <c r="F45" s="13">
        <v>44287000</v>
      </c>
      <c r="G45" s="14">
        <v>0</v>
      </c>
      <c r="H45" s="9" t="s">
        <v>1150</v>
      </c>
      <c r="I45" s="15">
        <v>1082127888</v>
      </c>
      <c r="J45" s="16" t="s">
        <v>1175</v>
      </c>
      <c r="K45" s="17">
        <v>3</v>
      </c>
      <c r="L45" s="18" t="s">
        <v>716</v>
      </c>
      <c r="M45" s="19">
        <v>670000</v>
      </c>
      <c r="N45" s="19">
        <v>0</v>
      </c>
      <c r="O45" s="19">
        <f t="shared" si="0"/>
        <v>2010000</v>
      </c>
      <c r="P45" s="17" t="s">
        <v>570</v>
      </c>
    </row>
    <row r="46" spans="1:16" x14ac:dyDescent="0.3">
      <c r="A46" s="9" t="s">
        <v>1091</v>
      </c>
      <c r="B46" s="10" t="s">
        <v>2053</v>
      </c>
      <c r="C46" s="11" t="s">
        <v>1149</v>
      </c>
      <c r="D46" s="12">
        <v>44001</v>
      </c>
      <c r="E46" s="12">
        <v>44005</v>
      </c>
      <c r="F46" s="13">
        <v>44287000</v>
      </c>
      <c r="G46" s="14">
        <v>0</v>
      </c>
      <c r="H46" s="9" t="s">
        <v>1150</v>
      </c>
      <c r="I46" s="15">
        <v>1082127888</v>
      </c>
      <c r="J46" s="16" t="s">
        <v>1176</v>
      </c>
      <c r="K46" s="17">
        <v>1</v>
      </c>
      <c r="L46" s="18" t="s">
        <v>716</v>
      </c>
      <c r="M46" s="19">
        <v>234500</v>
      </c>
      <c r="N46" s="19">
        <v>0</v>
      </c>
      <c r="O46" s="19">
        <f t="shared" si="0"/>
        <v>234500</v>
      </c>
      <c r="P46" s="17" t="s">
        <v>570</v>
      </c>
    </row>
    <row r="47" spans="1:16" x14ac:dyDescent="0.3">
      <c r="A47" s="9" t="s">
        <v>1091</v>
      </c>
      <c r="B47" s="10" t="s">
        <v>2053</v>
      </c>
      <c r="C47" s="11" t="s">
        <v>1149</v>
      </c>
      <c r="D47" s="12">
        <v>44001</v>
      </c>
      <c r="E47" s="12">
        <v>44005</v>
      </c>
      <c r="F47" s="13">
        <v>44287000</v>
      </c>
      <c r="G47" s="14">
        <v>0</v>
      </c>
      <c r="H47" s="9" t="s">
        <v>1150</v>
      </c>
      <c r="I47" s="15">
        <v>1082127888</v>
      </c>
      <c r="J47" s="16" t="s">
        <v>1177</v>
      </c>
      <c r="K47" s="17">
        <v>1</v>
      </c>
      <c r="L47" s="18" t="s">
        <v>716</v>
      </c>
      <c r="M47" s="19">
        <v>234500</v>
      </c>
      <c r="N47" s="19">
        <v>0</v>
      </c>
      <c r="O47" s="19">
        <f t="shared" si="0"/>
        <v>234500</v>
      </c>
      <c r="P47" s="17" t="s">
        <v>570</v>
      </c>
    </row>
    <row r="48" spans="1:16" x14ac:dyDescent="0.3">
      <c r="A48" s="9" t="s">
        <v>1091</v>
      </c>
      <c r="B48" s="10" t="s">
        <v>2053</v>
      </c>
      <c r="C48" s="11" t="s">
        <v>1149</v>
      </c>
      <c r="D48" s="12">
        <v>44001</v>
      </c>
      <c r="E48" s="12">
        <v>44005</v>
      </c>
      <c r="F48" s="13">
        <v>44287000</v>
      </c>
      <c r="G48" s="14">
        <v>0</v>
      </c>
      <c r="H48" s="9" t="s">
        <v>1150</v>
      </c>
      <c r="I48" s="15">
        <v>1082127888</v>
      </c>
      <c r="J48" s="16" t="s">
        <v>1178</v>
      </c>
      <c r="K48" s="17">
        <v>2</v>
      </c>
      <c r="L48" s="18" t="s">
        <v>716</v>
      </c>
      <c r="M48" s="19">
        <v>234500</v>
      </c>
      <c r="N48" s="19">
        <v>0</v>
      </c>
      <c r="O48" s="19">
        <f t="shared" si="0"/>
        <v>469000</v>
      </c>
      <c r="P48" s="17" t="s">
        <v>570</v>
      </c>
    </row>
    <row r="49" spans="1:16" x14ac:dyDescent="0.3">
      <c r="A49" s="9" t="s">
        <v>1091</v>
      </c>
      <c r="B49" s="10" t="s">
        <v>2053</v>
      </c>
      <c r="C49" s="11" t="s">
        <v>1149</v>
      </c>
      <c r="D49" s="12">
        <v>44001</v>
      </c>
      <c r="E49" s="12">
        <v>44005</v>
      </c>
      <c r="F49" s="13">
        <v>44287000</v>
      </c>
      <c r="G49" s="14">
        <v>0</v>
      </c>
      <c r="H49" s="9" t="s">
        <v>1150</v>
      </c>
      <c r="I49" s="15">
        <v>1082127888</v>
      </c>
      <c r="J49" s="16" t="s">
        <v>1178</v>
      </c>
      <c r="K49" s="17">
        <v>1</v>
      </c>
      <c r="L49" s="18" t="s">
        <v>716</v>
      </c>
      <c r="M49" s="19">
        <v>234500</v>
      </c>
      <c r="N49" s="19">
        <v>0</v>
      </c>
      <c r="O49" s="19">
        <f t="shared" si="0"/>
        <v>234500</v>
      </c>
      <c r="P49" s="17" t="s">
        <v>570</v>
      </c>
    </row>
    <row r="50" spans="1:16" x14ac:dyDescent="0.3">
      <c r="A50" s="9" t="s">
        <v>1091</v>
      </c>
      <c r="B50" s="10" t="s">
        <v>2053</v>
      </c>
      <c r="C50" s="11" t="s">
        <v>1149</v>
      </c>
      <c r="D50" s="12">
        <v>44001</v>
      </c>
      <c r="E50" s="12">
        <v>44005</v>
      </c>
      <c r="F50" s="13">
        <v>44287000</v>
      </c>
      <c r="G50" s="14">
        <v>0</v>
      </c>
      <c r="H50" s="9" t="s">
        <v>1150</v>
      </c>
      <c r="I50" s="15">
        <v>1082127888</v>
      </c>
      <c r="J50" s="16" t="s">
        <v>1179</v>
      </c>
      <c r="K50" s="17">
        <v>1</v>
      </c>
      <c r="L50" s="18" t="s">
        <v>716</v>
      </c>
      <c r="M50" s="19">
        <v>234500</v>
      </c>
      <c r="N50" s="19">
        <v>0</v>
      </c>
      <c r="O50" s="19">
        <f t="shared" si="0"/>
        <v>234500</v>
      </c>
      <c r="P50" s="17" t="s">
        <v>570</v>
      </c>
    </row>
    <row r="51" spans="1:16" x14ac:dyDescent="0.3">
      <c r="A51" s="9" t="s">
        <v>1091</v>
      </c>
      <c r="B51" s="10" t="s">
        <v>2053</v>
      </c>
      <c r="C51" s="11" t="s">
        <v>1149</v>
      </c>
      <c r="D51" s="12">
        <v>44001</v>
      </c>
      <c r="E51" s="12">
        <v>44005</v>
      </c>
      <c r="F51" s="13">
        <v>44287000</v>
      </c>
      <c r="G51" s="14">
        <v>0</v>
      </c>
      <c r="H51" s="9" t="s">
        <v>1150</v>
      </c>
      <c r="I51" s="15">
        <v>1082127888</v>
      </c>
      <c r="J51" s="16" t="s">
        <v>1180</v>
      </c>
      <c r="K51" s="17">
        <v>1</v>
      </c>
      <c r="L51" s="18" t="s">
        <v>716</v>
      </c>
      <c r="M51" s="19">
        <v>234500</v>
      </c>
      <c r="N51" s="19">
        <v>0</v>
      </c>
      <c r="O51" s="19">
        <f t="shared" si="0"/>
        <v>234500</v>
      </c>
      <c r="P51" s="17" t="s">
        <v>570</v>
      </c>
    </row>
    <row r="52" spans="1:16" x14ac:dyDescent="0.3">
      <c r="A52" s="9" t="s">
        <v>1091</v>
      </c>
      <c r="B52" s="10" t="s">
        <v>2053</v>
      </c>
      <c r="C52" s="11" t="s">
        <v>1149</v>
      </c>
      <c r="D52" s="12">
        <v>44001</v>
      </c>
      <c r="E52" s="12">
        <v>44005</v>
      </c>
      <c r="F52" s="13">
        <v>44287000</v>
      </c>
      <c r="G52" s="14">
        <v>0</v>
      </c>
      <c r="H52" s="9" t="s">
        <v>1150</v>
      </c>
      <c r="I52" s="15">
        <v>1082127888</v>
      </c>
      <c r="J52" s="16" t="s">
        <v>1181</v>
      </c>
      <c r="K52" s="17">
        <v>1</v>
      </c>
      <c r="L52" s="18" t="s">
        <v>716</v>
      </c>
      <c r="M52" s="19">
        <v>234500</v>
      </c>
      <c r="N52" s="19">
        <v>0</v>
      </c>
      <c r="O52" s="19">
        <f t="shared" si="0"/>
        <v>234500</v>
      </c>
      <c r="P52" s="17" t="s">
        <v>570</v>
      </c>
    </row>
    <row r="53" spans="1:16" x14ac:dyDescent="0.3">
      <c r="A53" s="9" t="s">
        <v>1091</v>
      </c>
      <c r="B53" s="10" t="s">
        <v>2053</v>
      </c>
      <c r="C53" s="11" t="s">
        <v>1149</v>
      </c>
      <c r="D53" s="12">
        <v>44001</v>
      </c>
      <c r="E53" s="12">
        <v>44005</v>
      </c>
      <c r="F53" s="13">
        <v>44287000</v>
      </c>
      <c r="G53" s="14">
        <v>0</v>
      </c>
      <c r="H53" s="9" t="s">
        <v>1150</v>
      </c>
      <c r="I53" s="15">
        <v>1082127888</v>
      </c>
      <c r="J53" s="16" t="s">
        <v>1182</v>
      </c>
      <c r="K53" s="17">
        <v>1</v>
      </c>
      <c r="L53" s="18" t="s">
        <v>716</v>
      </c>
      <c r="M53" s="19">
        <v>234500</v>
      </c>
      <c r="N53" s="19">
        <v>0</v>
      </c>
      <c r="O53" s="19">
        <f t="shared" si="0"/>
        <v>234500</v>
      </c>
      <c r="P53" s="17" t="s">
        <v>570</v>
      </c>
    </row>
    <row r="54" spans="1:16" x14ac:dyDescent="0.3">
      <c r="A54" s="9" t="s">
        <v>1091</v>
      </c>
      <c r="B54" s="10" t="s">
        <v>2053</v>
      </c>
      <c r="C54" s="11" t="s">
        <v>1149</v>
      </c>
      <c r="D54" s="12">
        <v>44001</v>
      </c>
      <c r="E54" s="12">
        <v>44005</v>
      </c>
      <c r="F54" s="13">
        <v>44287000</v>
      </c>
      <c r="G54" s="14">
        <v>0</v>
      </c>
      <c r="H54" s="9" t="s">
        <v>1150</v>
      </c>
      <c r="I54" s="15">
        <v>1082127888</v>
      </c>
      <c r="J54" s="16" t="s">
        <v>1183</v>
      </c>
      <c r="K54" s="17">
        <v>1</v>
      </c>
      <c r="L54" s="18" t="s">
        <v>716</v>
      </c>
      <c r="M54" s="19">
        <v>234500</v>
      </c>
      <c r="N54" s="19">
        <v>0</v>
      </c>
      <c r="O54" s="19">
        <f t="shared" si="0"/>
        <v>234500</v>
      </c>
      <c r="P54" s="17" t="s">
        <v>570</v>
      </c>
    </row>
    <row r="55" spans="1:16" x14ac:dyDescent="0.3">
      <c r="A55" s="9" t="s">
        <v>1091</v>
      </c>
      <c r="B55" s="10" t="s">
        <v>2053</v>
      </c>
      <c r="C55" s="11" t="s">
        <v>1149</v>
      </c>
      <c r="D55" s="12">
        <v>44001</v>
      </c>
      <c r="E55" s="12">
        <v>44005</v>
      </c>
      <c r="F55" s="13">
        <v>44287000</v>
      </c>
      <c r="G55" s="14">
        <v>0</v>
      </c>
      <c r="H55" s="9" t="s">
        <v>1150</v>
      </c>
      <c r="I55" s="15">
        <v>1082127888</v>
      </c>
      <c r="J55" s="16" t="s">
        <v>1184</v>
      </c>
      <c r="K55" s="17">
        <v>1</v>
      </c>
      <c r="L55" s="18" t="s">
        <v>716</v>
      </c>
      <c r="M55" s="19">
        <v>234500</v>
      </c>
      <c r="N55" s="19">
        <v>0</v>
      </c>
      <c r="O55" s="19">
        <f t="shared" si="0"/>
        <v>234500</v>
      </c>
      <c r="P55" s="17" t="s">
        <v>570</v>
      </c>
    </row>
    <row r="56" spans="1:16" x14ac:dyDescent="0.3">
      <c r="A56" s="9" t="s">
        <v>1091</v>
      </c>
      <c r="B56" s="10" t="s">
        <v>2053</v>
      </c>
      <c r="C56" s="11" t="s">
        <v>1149</v>
      </c>
      <c r="D56" s="12">
        <v>44001</v>
      </c>
      <c r="E56" s="12">
        <v>44005</v>
      </c>
      <c r="F56" s="13">
        <v>44287000</v>
      </c>
      <c r="G56" s="14">
        <v>0</v>
      </c>
      <c r="H56" s="9" t="s">
        <v>1150</v>
      </c>
      <c r="I56" s="15">
        <v>1082127888</v>
      </c>
      <c r="J56" s="16" t="s">
        <v>1185</v>
      </c>
      <c r="K56" s="17">
        <v>1</v>
      </c>
      <c r="L56" s="18" t="s">
        <v>716</v>
      </c>
      <c r="M56" s="19">
        <v>234500</v>
      </c>
      <c r="N56" s="19">
        <v>0</v>
      </c>
      <c r="O56" s="19">
        <f t="shared" si="0"/>
        <v>234500</v>
      </c>
      <c r="P56" s="17" t="s">
        <v>570</v>
      </c>
    </row>
    <row r="57" spans="1:16" x14ac:dyDescent="0.3">
      <c r="A57" s="9" t="s">
        <v>1091</v>
      </c>
      <c r="B57" s="10" t="s">
        <v>2053</v>
      </c>
      <c r="C57" s="11" t="s">
        <v>1149</v>
      </c>
      <c r="D57" s="12">
        <v>44001</v>
      </c>
      <c r="E57" s="12">
        <v>44005</v>
      </c>
      <c r="F57" s="13">
        <v>44287000</v>
      </c>
      <c r="G57" s="14">
        <v>0</v>
      </c>
      <c r="H57" s="9" t="s">
        <v>1150</v>
      </c>
      <c r="I57" s="15">
        <v>1082127888</v>
      </c>
      <c r="J57" s="16" t="s">
        <v>1186</v>
      </c>
      <c r="K57" s="17">
        <v>1</v>
      </c>
      <c r="L57" s="18" t="s">
        <v>716</v>
      </c>
      <c r="M57" s="19">
        <v>234500</v>
      </c>
      <c r="N57" s="19">
        <v>0</v>
      </c>
      <c r="O57" s="19">
        <f t="shared" si="0"/>
        <v>234500</v>
      </c>
      <c r="P57" s="17" t="s">
        <v>570</v>
      </c>
    </row>
    <row r="58" spans="1:16" x14ac:dyDescent="0.3">
      <c r="A58" s="9" t="s">
        <v>1091</v>
      </c>
      <c r="B58" s="10" t="s">
        <v>2053</v>
      </c>
      <c r="C58" s="11" t="s">
        <v>1149</v>
      </c>
      <c r="D58" s="12">
        <v>44001</v>
      </c>
      <c r="E58" s="12">
        <v>44005</v>
      </c>
      <c r="F58" s="13">
        <v>44287000</v>
      </c>
      <c r="G58" s="14">
        <v>0</v>
      </c>
      <c r="H58" s="9" t="s">
        <v>1150</v>
      </c>
      <c r="I58" s="15">
        <v>1082127888</v>
      </c>
      <c r="J58" s="16" t="s">
        <v>1187</v>
      </c>
      <c r="K58" s="17">
        <v>1</v>
      </c>
      <c r="L58" s="18" t="s">
        <v>716</v>
      </c>
      <c r="M58" s="19">
        <v>234500</v>
      </c>
      <c r="N58" s="19">
        <v>0</v>
      </c>
      <c r="O58" s="19">
        <f t="shared" si="0"/>
        <v>234500</v>
      </c>
      <c r="P58" s="17" t="s">
        <v>570</v>
      </c>
    </row>
    <row r="59" spans="1:16" x14ac:dyDescent="0.3">
      <c r="A59" s="9" t="s">
        <v>1091</v>
      </c>
      <c r="B59" s="10" t="s">
        <v>2053</v>
      </c>
      <c r="C59" s="11" t="s">
        <v>1149</v>
      </c>
      <c r="D59" s="12">
        <v>44001</v>
      </c>
      <c r="E59" s="12">
        <v>44005</v>
      </c>
      <c r="F59" s="13">
        <v>44287000</v>
      </c>
      <c r="G59" s="14">
        <v>0</v>
      </c>
      <c r="H59" s="9" t="s">
        <v>1150</v>
      </c>
      <c r="I59" s="15">
        <v>1082127888</v>
      </c>
      <c r="J59" s="16" t="s">
        <v>1188</v>
      </c>
      <c r="K59" s="17">
        <v>2</v>
      </c>
      <c r="L59" s="18" t="s">
        <v>716</v>
      </c>
      <c r="M59" s="19">
        <v>301500</v>
      </c>
      <c r="N59" s="19">
        <v>0</v>
      </c>
      <c r="O59" s="19">
        <f t="shared" si="0"/>
        <v>603000</v>
      </c>
      <c r="P59" s="17" t="s">
        <v>570</v>
      </c>
    </row>
    <row r="60" spans="1:16" x14ac:dyDescent="0.3">
      <c r="A60" s="9" t="s">
        <v>1091</v>
      </c>
      <c r="B60" s="10" t="s">
        <v>2053</v>
      </c>
      <c r="C60" s="11" t="s">
        <v>1149</v>
      </c>
      <c r="D60" s="12">
        <v>44001</v>
      </c>
      <c r="E60" s="12">
        <v>44005</v>
      </c>
      <c r="F60" s="13">
        <v>44287000</v>
      </c>
      <c r="G60" s="14">
        <v>0</v>
      </c>
      <c r="H60" s="9" t="s">
        <v>1150</v>
      </c>
      <c r="I60" s="15">
        <v>1082127888</v>
      </c>
      <c r="J60" s="16" t="s">
        <v>1189</v>
      </c>
      <c r="K60" s="17">
        <v>1</v>
      </c>
      <c r="L60" s="18" t="s">
        <v>716</v>
      </c>
      <c r="M60" s="19">
        <v>234500</v>
      </c>
      <c r="N60" s="19">
        <v>0</v>
      </c>
      <c r="O60" s="19">
        <f t="shared" si="0"/>
        <v>234500</v>
      </c>
      <c r="P60" s="17" t="s">
        <v>570</v>
      </c>
    </row>
    <row r="61" spans="1:16" x14ac:dyDescent="0.3">
      <c r="A61" s="9" t="s">
        <v>1091</v>
      </c>
      <c r="B61" s="10" t="s">
        <v>2053</v>
      </c>
      <c r="C61" s="11" t="s">
        <v>1149</v>
      </c>
      <c r="D61" s="12">
        <v>44001</v>
      </c>
      <c r="E61" s="12">
        <v>44005</v>
      </c>
      <c r="F61" s="13">
        <v>44287000</v>
      </c>
      <c r="G61" s="14">
        <v>0</v>
      </c>
      <c r="H61" s="9" t="s">
        <v>1150</v>
      </c>
      <c r="I61" s="15">
        <v>1082127888</v>
      </c>
      <c r="J61" s="16" t="s">
        <v>1190</v>
      </c>
      <c r="K61" s="17">
        <v>1</v>
      </c>
      <c r="L61" s="18" t="s">
        <v>716</v>
      </c>
      <c r="M61" s="19">
        <v>234500</v>
      </c>
      <c r="N61" s="19">
        <v>0</v>
      </c>
      <c r="O61" s="19">
        <f t="shared" si="0"/>
        <v>234500</v>
      </c>
      <c r="P61" s="17" t="s">
        <v>570</v>
      </c>
    </row>
    <row r="62" spans="1:16" x14ac:dyDescent="0.3">
      <c r="A62" s="9" t="s">
        <v>1091</v>
      </c>
      <c r="B62" s="10" t="s">
        <v>2053</v>
      </c>
      <c r="C62" s="11" t="s">
        <v>1149</v>
      </c>
      <c r="D62" s="12">
        <v>44001</v>
      </c>
      <c r="E62" s="12">
        <v>44005</v>
      </c>
      <c r="F62" s="13">
        <v>44287000</v>
      </c>
      <c r="G62" s="14">
        <v>0</v>
      </c>
      <c r="H62" s="9" t="s">
        <v>1150</v>
      </c>
      <c r="I62" s="15">
        <v>1082127888</v>
      </c>
      <c r="J62" s="16" t="s">
        <v>1191</v>
      </c>
      <c r="K62" s="17">
        <v>1</v>
      </c>
      <c r="L62" s="18" t="s">
        <v>716</v>
      </c>
      <c r="M62" s="19">
        <v>234500</v>
      </c>
      <c r="N62" s="19">
        <v>0</v>
      </c>
      <c r="O62" s="19">
        <f t="shared" si="0"/>
        <v>234500</v>
      </c>
      <c r="P62" s="17" t="s">
        <v>570</v>
      </c>
    </row>
    <row r="63" spans="1:16" x14ac:dyDescent="0.3">
      <c r="A63" s="9" t="s">
        <v>1091</v>
      </c>
      <c r="B63" s="10" t="s">
        <v>2053</v>
      </c>
      <c r="C63" s="11" t="s">
        <v>1149</v>
      </c>
      <c r="D63" s="12">
        <v>44001</v>
      </c>
      <c r="E63" s="12">
        <v>44005</v>
      </c>
      <c r="F63" s="13">
        <v>44287000</v>
      </c>
      <c r="G63" s="14">
        <v>0</v>
      </c>
      <c r="H63" s="9" t="s">
        <v>1150</v>
      </c>
      <c r="I63" s="15">
        <v>1082127888</v>
      </c>
      <c r="J63" s="16" t="s">
        <v>1907</v>
      </c>
      <c r="K63" s="17">
        <v>2</v>
      </c>
      <c r="L63" s="18" t="s">
        <v>716</v>
      </c>
      <c r="M63" s="19">
        <v>569500</v>
      </c>
      <c r="N63" s="19">
        <v>0</v>
      </c>
      <c r="O63" s="19">
        <f t="shared" si="0"/>
        <v>1139000</v>
      </c>
      <c r="P63" s="17" t="s">
        <v>570</v>
      </c>
    </row>
    <row r="64" spans="1:16" x14ac:dyDescent="0.3">
      <c r="A64" s="9" t="s">
        <v>1091</v>
      </c>
      <c r="B64" s="10" t="s">
        <v>2053</v>
      </c>
      <c r="C64" s="11" t="s">
        <v>1149</v>
      </c>
      <c r="D64" s="12">
        <v>44001</v>
      </c>
      <c r="E64" s="12">
        <v>44005</v>
      </c>
      <c r="F64" s="13">
        <v>44287000</v>
      </c>
      <c r="G64" s="14">
        <v>0</v>
      </c>
      <c r="H64" s="9" t="s">
        <v>1150</v>
      </c>
      <c r="I64" s="15">
        <v>1082127888</v>
      </c>
      <c r="J64" s="16" t="s">
        <v>1192</v>
      </c>
      <c r="K64" s="17">
        <v>1</v>
      </c>
      <c r="L64" s="18" t="s">
        <v>716</v>
      </c>
      <c r="M64" s="19">
        <v>301500</v>
      </c>
      <c r="N64" s="19">
        <v>0</v>
      </c>
      <c r="O64" s="19">
        <f t="shared" si="0"/>
        <v>301500</v>
      </c>
      <c r="P64" s="17" t="s">
        <v>570</v>
      </c>
    </row>
    <row r="65" spans="1:16" x14ac:dyDescent="0.3">
      <c r="A65" s="9" t="s">
        <v>1091</v>
      </c>
      <c r="B65" s="10" t="s">
        <v>2053</v>
      </c>
      <c r="C65" s="11" t="s">
        <v>1149</v>
      </c>
      <c r="D65" s="12">
        <v>44001</v>
      </c>
      <c r="E65" s="12">
        <v>44005</v>
      </c>
      <c r="F65" s="13">
        <v>44287000</v>
      </c>
      <c r="G65" s="14">
        <v>0</v>
      </c>
      <c r="H65" s="9" t="s">
        <v>1150</v>
      </c>
      <c r="I65" s="15">
        <v>1082127888</v>
      </c>
      <c r="J65" s="16" t="s">
        <v>1193</v>
      </c>
      <c r="K65" s="17">
        <v>1</v>
      </c>
      <c r="L65" s="18" t="s">
        <v>716</v>
      </c>
      <c r="M65" s="19">
        <v>301500</v>
      </c>
      <c r="N65" s="19">
        <v>0</v>
      </c>
      <c r="O65" s="19">
        <f t="shared" si="0"/>
        <v>301500</v>
      </c>
      <c r="P65" s="17" t="s">
        <v>570</v>
      </c>
    </row>
    <row r="66" spans="1:16" x14ac:dyDescent="0.3">
      <c r="A66" s="9" t="s">
        <v>1091</v>
      </c>
      <c r="B66" s="10" t="s">
        <v>2053</v>
      </c>
      <c r="C66" s="11" t="s">
        <v>1149</v>
      </c>
      <c r="D66" s="12">
        <v>44001</v>
      </c>
      <c r="E66" s="12">
        <v>44005</v>
      </c>
      <c r="F66" s="13">
        <v>44287000</v>
      </c>
      <c r="G66" s="14">
        <v>0</v>
      </c>
      <c r="H66" s="9" t="s">
        <v>1150</v>
      </c>
      <c r="I66" s="15">
        <v>1082127888</v>
      </c>
      <c r="J66" s="16" t="s">
        <v>1908</v>
      </c>
      <c r="K66" s="17">
        <v>2</v>
      </c>
      <c r="L66" s="18" t="s">
        <v>716</v>
      </c>
      <c r="M66" s="19">
        <v>234500</v>
      </c>
      <c r="N66" s="19">
        <v>0</v>
      </c>
      <c r="O66" s="19">
        <f t="shared" ref="O66:O109" si="2">K66*(M66+N66)</f>
        <v>469000</v>
      </c>
      <c r="P66" s="17" t="s">
        <v>570</v>
      </c>
    </row>
    <row r="67" spans="1:16" x14ac:dyDescent="0.3">
      <c r="A67" s="9" t="s">
        <v>1091</v>
      </c>
      <c r="B67" s="10" t="s">
        <v>2053</v>
      </c>
      <c r="C67" s="11" t="s">
        <v>1149</v>
      </c>
      <c r="D67" s="12">
        <v>44001</v>
      </c>
      <c r="E67" s="12">
        <v>44005</v>
      </c>
      <c r="F67" s="13">
        <v>44287000</v>
      </c>
      <c r="G67" s="14">
        <v>0</v>
      </c>
      <c r="H67" s="9" t="s">
        <v>1150</v>
      </c>
      <c r="I67" s="15">
        <v>1082127888</v>
      </c>
      <c r="J67" s="16" t="s">
        <v>1194</v>
      </c>
      <c r="K67" s="17">
        <v>2</v>
      </c>
      <c r="L67" s="18" t="s">
        <v>716</v>
      </c>
      <c r="M67" s="19">
        <v>167500</v>
      </c>
      <c r="N67" s="19">
        <v>0</v>
      </c>
      <c r="O67" s="19">
        <f t="shared" si="2"/>
        <v>335000</v>
      </c>
      <c r="P67" s="17" t="s">
        <v>570</v>
      </c>
    </row>
    <row r="68" spans="1:16" x14ac:dyDescent="0.3">
      <c r="A68" s="9" t="s">
        <v>1091</v>
      </c>
      <c r="B68" s="10" t="s">
        <v>2053</v>
      </c>
      <c r="C68" s="11" t="s">
        <v>1149</v>
      </c>
      <c r="D68" s="12">
        <v>44001</v>
      </c>
      <c r="E68" s="12">
        <v>44005</v>
      </c>
      <c r="F68" s="13">
        <v>44287000</v>
      </c>
      <c r="G68" s="14">
        <v>0</v>
      </c>
      <c r="H68" s="9" t="s">
        <v>1150</v>
      </c>
      <c r="I68" s="15">
        <v>1082127888</v>
      </c>
      <c r="J68" s="16" t="s">
        <v>1195</v>
      </c>
      <c r="K68" s="17">
        <v>1</v>
      </c>
      <c r="L68" s="18" t="s">
        <v>716</v>
      </c>
      <c r="M68" s="19">
        <v>234500</v>
      </c>
      <c r="N68" s="19">
        <v>0</v>
      </c>
      <c r="O68" s="19">
        <f t="shared" si="2"/>
        <v>234500</v>
      </c>
      <c r="P68" s="17" t="s">
        <v>570</v>
      </c>
    </row>
    <row r="69" spans="1:16" x14ac:dyDescent="0.3">
      <c r="A69" s="9" t="s">
        <v>1091</v>
      </c>
      <c r="B69" s="10" t="s">
        <v>2053</v>
      </c>
      <c r="C69" s="11" t="s">
        <v>1149</v>
      </c>
      <c r="D69" s="12">
        <v>44001</v>
      </c>
      <c r="E69" s="12">
        <v>44005</v>
      </c>
      <c r="F69" s="13">
        <v>44287000</v>
      </c>
      <c r="G69" s="14">
        <v>0</v>
      </c>
      <c r="H69" s="9" t="s">
        <v>1150</v>
      </c>
      <c r="I69" s="15">
        <v>1082127888</v>
      </c>
      <c r="J69" s="16" t="s">
        <v>1196</v>
      </c>
      <c r="K69" s="17">
        <v>1</v>
      </c>
      <c r="L69" s="18" t="s">
        <v>716</v>
      </c>
      <c r="M69" s="19">
        <v>234500</v>
      </c>
      <c r="N69" s="19">
        <v>0</v>
      </c>
      <c r="O69" s="19">
        <f t="shared" si="2"/>
        <v>234500</v>
      </c>
      <c r="P69" s="17" t="s">
        <v>570</v>
      </c>
    </row>
    <row r="70" spans="1:16" x14ac:dyDescent="0.3">
      <c r="A70" s="9" t="s">
        <v>1091</v>
      </c>
      <c r="B70" s="10" t="s">
        <v>2053</v>
      </c>
      <c r="C70" s="11" t="s">
        <v>1149</v>
      </c>
      <c r="D70" s="12">
        <v>44001</v>
      </c>
      <c r="E70" s="12">
        <v>44005</v>
      </c>
      <c r="F70" s="13">
        <v>44287000</v>
      </c>
      <c r="G70" s="14">
        <v>0</v>
      </c>
      <c r="H70" s="9" t="s">
        <v>1150</v>
      </c>
      <c r="I70" s="15">
        <v>1082127888</v>
      </c>
      <c r="J70" s="16" t="s">
        <v>1197</v>
      </c>
      <c r="K70" s="17">
        <v>1</v>
      </c>
      <c r="L70" s="18" t="s">
        <v>716</v>
      </c>
      <c r="M70" s="19">
        <v>234500</v>
      </c>
      <c r="N70" s="19">
        <v>0</v>
      </c>
      <c r="O70" s="19">
        <f t="shared" si="2"/>
        <v>234500</v>
      </c>
      <c r="P70" s="17" t="s">
        <v>570</v>
      </c>
    </row>
    <row r="71" spans="1:16" x14ac:dyDescent="0.3">
      <c r="A71" s="9" t="s">
        <v>1091</v>
      </c>
      <c r="B71" s="10" t="s">
        <v>2053</v>
      </c>
      <c r="C71" s="11" t="s">
        <v>1149</v>
      </c>
      <c r="D71" s="12">
        <v>44001</v>
      </c>
      <c r="E71" s="12">
        <v>44005</v>
      </c>
      <c r="F71" s="13">
        <v>44287000</v>
      </c>
      <c r="G71" s="14">
        <v>0</v>
      </c>
      <c r="H71" s="9" t="s">
        <v>1150</v>
      </c>
      <c r="I71" s="15">
        <v>1082127888</v>
      </c>
      <c r="J71" s="16" t="s">
        <v>1198</v>
      </c>
      <c r="K71" s="17">
        <v>1</v>
      </c>
      <c r="L71" s="18" t="s">
        <v>716</v>
      </c>
      <c r="M71" s="19">
        <v>234500</v>
      </c>
      <c r="N71" s="19">
        <v>0</v>
      </c>
      <c r="O71" s="19">
        <f t="shared" si="2"/>
        <v>234500</v>
      </c>
      <c r="P71" s="17" t="s">
        <v>570</v>
      </c>
    </row>
    <row r="72" spans="1:16" x14ac:dyDescent="0.3">
      <c r="A72" s="9" t="s">
        <v>1091</v>
      </c>
      <c r="B72" s="10" t="s">
        <v>2053</v>
      </c>
      <c r="C72" s="11" t="s">
        <v>1149</v>
      </c>
      <c r="D72" s="12">
        <v>44001</v>
      </c>
      <c r="E72" s="12">
        <v>44005</v>
      </c>
      <c r="F72" s="13">
        <v>44287000</v>
      </c>
      <c r="G72" s="14">
        <v>0</v>
      </c>
      <c r="H72" s="9" t="s">
        <v>1150</v>
      </c>
      <c r="I72" s="15">
        <v>1082127888</v>
      </c>
      <c r="J72" s="16" t="s">
        <v>1199</v>
      </c>
      <c r="K72" s="17">
        <v>1</v>
      </c>
      <c r="L72" s="18" t="s">
        <v>716</v>
      </c>
      <c r="M72" s="19">
        <v>234500</v>
      </c>
      <c r="N72" s="19">
        <v>0</v>
      </c>
      <c r="O72" s="19">
        <f t="shared" si="2"/>
        <v>234500</v>
      </c>
      <c r="P72" s="17" t="s">
        <v>570</v>
      </c>
    </row>
    <row r="73" spans="1:16" x14ac:dyDescent="0.3">
      <c r="A73" s="9" t="s">
        <v>1091</v>
      </c>
      <c r="B73" s="10" t="s">
        <v>2053</v>
      </c>
      <c r="C73" s="11" t="s">
        <v>1149</v>
      </c>
      <c r="D73" s="12">
        <v>44001</v>
      </c>
      <c r="E73" s="12">
        <v>44005</v>
      </c>
      <c r="F73" s="13">
        <v>44287000</v>
      </c>
      <c r="G73" s="14">
        <v>0</v>
      </c>
      <c r="H73" s="9" t="s">
        <v>1150</v>
      </c>
      <c r="I73" s="15">
        <v>1082127888</v>
      </c>
      <c r="J73" s="16" t="s">
        <v>1909</v>
      </c>
      <c r="K73" s="17">
        <v>2</v>
      </c>
      <c r="L73" s="18" t="s">
        <v>716</v>
      </c>
      <c r="M73" s="19">
        <v>234500</v>
      </c>
      <c r="N73" s="19">
        <v>0</v>
      </c>
      <c r="O73" s="19">
        <f t="shared" si="2"/>
        <v>469000</v>
      </c>
      <c r="P73" s="17" t="s">
        <v>570</v>
      </c>
    </row>
    <row r="74" spans="1:16" x14ac:dyDescent="0.3">
      <c r="A74" s="9" t="s">
        <v>1091</v>
      </c>
      <c r="B74" s="10" t="s">
        <v>2053</v>
      </c>
      <c r="C74" s="11" t="s">
        <v>1149</v>
      </c>
      <c r="D74" s="12">
        <v>44001</v>
      </c>
      <c r="E74" s="12">
        <v>44005</v>
      </c>
      <c r="F74" s="13">
        <v>44287000</v>
      </c>
      <c r="G74" s="14">
        <v>0</v>
      </c>
      <c r="H74" s="9" t="s">
        <v>1150</v>
      </c>
      <c r="I74" s="15">
        <v>1082127888</v>
      </c>
      <c r="J74" s="16" t="s">
        <v>1200</v>
      </c>
      <c r="K74" s="17">
        <v>2</v>
      </c>
      <c r="L74" s="18" t="s">
        <v>716</v>
      </c>
      <c r="M74" s="19">
        <v>201000</v>
      </c>
      <c r="N74" s="19">
        <v>0</v>
      </c>
      <c r="O74" s="19">
        <f t="shared" si="2"/>
        <v>402000</v>
      </c>
      <c r="P74" s="17" t="s">
        <v>570</v>
      </c>
    </row>
    <row r="75" spans="1:16" x14ac:dyDescent="0.3">
      <c r="A75" s="9" t="s">
        <v>1091</v>
      </c>
      <c r="B75" s="10" t="s">
        <v>2053</v>
      </c>
      <c r="C75" s="11" t="s">
        <v>1149</v>
      </c>
      <c r="D75" s="12">
        <v>44001</v>
      </c>
      <c r="E75" s="12">
        <v>44005</v>
      </c>
      <c r="F75" s="13">
        <v>44287000</v>
      </c>
      <c r="G75" s="14">
        <v>0</v>
      </c>
      <c r="H75" s="9" t="s">
        <v>1150</v>
      </c>
      <c r="I75" s="15">
        <v>1082127888</v>
      </c>
      <c r="J75" s="16" t="s">
        <v>1201</v>
      </c>
      <c r="K75" s="17">
        <v>1</v>
      </c>
      <c r="L75" s="18" t="s">
        <v>716</v>
      </c>
      <c r="M75" s="19">
        <v>234500</v>
      </c>
      <c r="N75" s="19">
        <v>0</v>
      </c>
      <c r="O75" s="19">
        <f t="shared" si="2"/>
        <v>234500</v>
      </c>
      <c r="P75" s="17" t="s">
        <v>570</v>
      </c>
    </row>
    <row r="76" spans="1:16" x14ac:dyDescent="0.3">
      <c r="A76" s="9" t="s">
        <v>1091</v>
      </c>
      <c r="B76" s="10" t="s">
        <v>2053</v>
      </c>
      <c r="C76" s="11" t="s">
        <v>1149</v>
      </c>
      <c r="D76" s="12">
        <v>44001</v>
      </c>
      <c r="E76" s="12">
        <v>44005</v>
      </c>
      <c r="F76" s="13">
        <v>44287000</v>
      </c>
      <c r="G76" s="14">
        <v>0</v>
      </c>
      <c r="H76" s="9" t="s">
        <v>1150</v>
      </c>
      <c r="I76" s="15">
        <v>1082127888</v>
      </c>
      <c r="J76" s="16" t="s">
        <v>1202</v>
      </c>
      <c r="K76" s="17">
        <v>1</v>
      </c>
      <c r="L76" s="18" t="s">
        <v>716</v>
      </c>
      <c r="M76" s="19">
        <v>201000</v>
      </c>
      <c r="N76" s="19">
        <v>0</v>
      </c>
      <c r="O76" s="19">
        <f t="shared" si="2"/>
        <v>201000</v>
      </c>
      <c r="P76" s="17" t="s">
        <v>570</v>
      </c>
    </row>
    <row r="77" spans="1:16" x14ac:dyDescent="0.3">
      <c r="A77" s="9" t="s">
        <v>1091</v>
      </c>
      <c r="B77" s="10" t="s">
        <v>2053</v>
      </c>
      <c r="C77" s="11" t="s">
        <v>1149</v>
      </c>
      <c r="D77" s="12">
        <v>44001</v>
      </c>
      <c r="E77" s="12">
        <v>44005</v>
      </c>
      <c r="F77" s="13">
        <v>44287000</v>
      </c>
      <c r="G77" s="14">
        <v>0</v>
      </c>
      <c r="H77" s="9" t="s">
        <v>1150</v>
      </c>
      <c r="I77" s="15">
        <v>1082127888</v>
      </c>
      <c r="J77" s="16" t="s">
        <v>1203</v>
      </c>
      <c r="K77" s="17">
        <v>1</v>
      </c>
      <c r="L77" s="18" t="s">
        <v>716</v>
      </c>
      <c r="M77" s="19">
        <v>201000</v>
      </c>
      <c r="N77" s="19">
        <v>0</v>
      </c>
      <c r="O77" s="19">
        <f t="shared" si="2"/>
        <v>201000</v>
      </c>
      <c r="P77" s="17" t="s">
        <v>570</v>
      </c>
    </row>
    <row r="78" spans="1:16" x14ac:dyDescent="0.3">
      <c r="A78" s="9" t="s">
        <v>1091</v>
      </c>
      <c r="B78" s="10" t="s">
        <v>2053</v>
      </c>
      <c r="C78" s="11" t="s">
        <v>1149</v>
      </c>
      <c r="D78" s="12">
        <v>44001</v>
      </c>
      <c r="E78" s="12">
        <v>44005</v>
      </c>
      <c r="F78" s="13">
        <v>44287000</v>
      </c>
      <c r="G78" s="14">
        <v>0</v>
      </c>
      <c r="H78" s="9" t="s">
        <v>1150</v>
      </c>
      <c r="I78" s="15">
        <v>1082127888</v>
      </c>
      <c r="J78" s="16" t="s">
        <v>1204</v>
      </c>
      <c r="K78" s="17">
        <v>1</v>
      </c>
      <c r="L78" s="18" t="s">
        <v>716</v>
      </c>
      <c r="M78" s="19">
        <v>201000</v>
      </c>
      <c r="N78" s="19">
        <v>0</v>
      </c>
      <c r="O78" s="19">
        <f t="shared" si="2"/>
        <v>201000</v>
      </c>
      <c r="P78" s="17" t="s">
        <v>570</v>
      </c>
    </row>
    <row r="79" spans="1:16" x14ac:dyDescent="0.3">
      <c r="A79" s="9" t="s">
        <v>1091</v>
      </c>
      <c r="B79" s="10" t="s">
        <v>2053</v>
      </c>
      <c r="C79" s="11" t="s">
        <v>1149</v>
      </c>
      <c r="D79" s="12">
        <v>44001</v>
      </c>
      <c r="E79" s="12">
        <v>44005</v>
      </c>
      <c r="F79" s="13">
        <v>44287000</v>
      </c>
      <c r="G79" s="14">
        <v>0</v>
      </c>
      <c r="H79" s="9" t="s">
        <v>1150</v>
      </c>
      <c r="I79" s="15">
        <v>1082127888</v>
      </c>
      <c r="J79" s="16" t="s">
        <v>1205</v>
      </c>
      <c r="K79" s="17">
        <v>2</v>
      </c>
      <c r="L79" s="18" t="s">
        <v>716</v>
      </c>
      <c r="M79" s="19">
        <v>234500</v>
      </c>
      <c r="N79" s="19">
        <v>0</v>
      </c>
      <c r="O79" s="19">
        <f t="shared" si="2"/>
        <v>469000</v>
      </c>
      <c r="P79" s="17" t="s">
        <v>570</v>
      </c>
    </row>
    <row r="80" spans="1:16" x14ac:dyDescent="0.3">
      <c r="A80" s="9" t="s">
        <v>1091</v>
      </c>
      <c r="B80" s="10" t="s">
        <v>2053</v>
      </c>
      <c r="C80" s="11" t="s">
        <v>1149</v>
      </c>
      <c r="D80" s="12">
        <v>44001</v>
      </c>
      <c r="E80" s="12">
        <v>44005</v>
      </c>
      <c r="F80" s="13">
        <v>44287000</v>
      </c>
      <c r="G80" s="14">
        <v>0</v>
      </c>
      <c r="H80" s="9" t="s">
        <v>1150</v>
      </c>
      <c r="I80" s="15">
        <v>1082127888</v>
      </c>
      <c r="J80" s="16" t="s">
        <v>1206</v>
      </c>
      <c r="K80" s="17">
        <v>3</v>
      </c>
      <c r="L80" s="18" t="s">
        <v>716</v>
      </c>
      <c r="M80" s="19">
        <v>569500</v>
      </c>
      <c r="N80" s="19">
        <v>0</v>
      </c>
      <c r="O80" s="19">
        <f t="shared" si="2"/>
        <v>1708500</v>
      </c>
      <c r="P80" s="17" t="s">
        <v>570</v>
      </c>
    </row>
    <row r="81" spans="1:16" x14ac:dyDescent="0.3">
      <c r="A81" s="9" t="s">
        <v>1091</v>
      </c>
      <c r="B81" s="10" t="s">
        <v>2053</v>
      </c>
      <c r="C81" s="11" t="s">
        <v>1149</v>
      </c>
      <c r="D81" s="12">
        <v>44001</v>
      </c>
      <c r="E81" s="12">
        <v>44005</v>
      </c>
      <c r="F81" s="13">
        <v>44287000</v>
      </c>
      <c r="G81" s="14">
        <v>0</v>
      </c>
      <c r="H81" s="9" t="s">
        <v>1150</v>
      </c>
      <c r="I81" s="15">
        <v>1082127888</v>
      </c>
      <c r="J81" s="16" t="s">
        <v>1207</v>
      </c>
      <c r="K81" s="17">
        <v>3</v>
      </c>
      <c r="L81" s="18" t="s">
        <v>716</v>
      </c>
      <c r="M81" s="19">
        <v>268000</v>
      </c>
      <c r="N81" s="19">
        <v>0</v>
      </c>
      <c r="O81" s="19">
        <f t="shared" si="2"/>
        <v>804000</v>
      </c>
      <c r="P81" s="17" t="s">
        <v>570</v>
      </c>
    </row>
    <row r="82" spans="1:16" x14ac:dyDescent="0.3">
      <c r="A82" s="9" t="s">
        <v>1091</v>
      </c>
      <c r="B82" s="10" t="s">
        <v>2053</v>
      </c>
      <c r="C82" s="11" t="s">
        <v>1149</v>
      </c>
      <c r="D82" s="12">
        <v>44001</v>
      </c>
      <c r="E82" s="12">
        <v>44005</v>
      </c>
      <c r="F82" s="13">
        <v>44287000</v>
      </c>
      <c r="G82" s="14">
        <v>0</v>
      </c>
      <c r="H82" s="9" t="s">
        <v>1150</v>
      </c>
      <c r="I82" s="15">
        <v>1082127888</v>
      </c>
      <c r="J82" s="16" t="s">
        <v>1208</v>
      </c>
      <c r="K82" s="17">
        <v>1</v>
      </c>
      <c r="L82" s="18" t="s">
        <v>716</v>
      </c>
      <c r="M82" s="19">
        <v>938000</v>
      </c>
      <c r="N82" s="19">
        <v>0</v>
      </c>
      <c r="O82" s="19">
        <f t="shared" si="2"/>
        <v>938000</v>
      </c>
      <c r="P82" s="17" t="s">
        <v>570</v>
      </c>
    </row>
    <row r="83" spans="1:16" x14ac:dyDescent="0.3">
      <c r="A83" s="9" t="s">
        <v>1091</v>
      </c>
      <c r="B83" s="10" t="s">
        <v>2053</v>
      </c>
      <c r="C83" s="11" t="s">
        <v>1149</v>
      </c>
      <c r="D83" s="12">
        <v>44001</v>
      </c>
      <c r="E83" s="12">
        <v>44005</v>
      </c>
      <c r="F83" s="13">
        <v>44287000</v>
      </c>
      <c r="G83" s="14">
        <v>0</v>
      </c>
      <c r="H83" s="9" t="s">
        <v>1150</v>
      </c>
      <c r="I83" s="15">
        <v>1082127888</v>
      </c>
      <c r="J83" s="16" t="s">
        <v>1209</v>
      </c>
      <c r="K83" s="17">
        <v>1</v>
      </c>
      <c r="L83" s="18" t="s">
        <v>716</v>
      </c>
      <c r="M83" s="19">
        <v>938000</v>
      </c>
      <c r="N83" s="19">
        <v>0</v>
      </c>
      <c r="O83" s="19">
        <f t="shared" si="2"/>
        <v>938000</v>
      </c>
      <c r="P83" s="17" t="s">
        <v>570</v>
      </c>
    </row>
    <row r="84" spans="1:16" x14ac:dyDescent="0.3">
      <c r="A84" s="9" t="s">
        <v>1091</v>
      </c>
      <c r="B84" s="10" t="s">
        <v>2053</v>
      </c>
      <c r="C84" s="11" t="s">
        <v>1149</v>
      </c>
      <c r="D84" s="12">
        <v>44001</v>
      </c>
      <c r="E84" s="12">
        <v>44005</v>
      </c>
      <c r="F84" s="13">
        <v>44287000</v>
      </c>
      <c r="G84" s="14">
        <v>0</v>
      </c>
      <c r="H84" s="9" t="s">
        <v>1150</v>
      </c>
      <c r="I84" s="15">
        <v>1082127888</v>
      </c>
      <c r="J84" s="16" t="s">
        <v>1210</v>
      </c>
      <c r="K84" s="17">
        <v>1</v>
      </c>
      <c r="L84" s="18" t="s">
        <v>716</v>
      </c>
      <c r="M84" s="19">
        <v>938000</v>
      </c>
      <c r="N84" s="19">
        <v>0</v>
      </c>
      <c r="O84" s="19">
        <f t="shared" si="2"/>
        <v>938000</v>
      </c>
      <c r="P84" s="17" t="s">
        <v>570</v>
      </c>
    </row>
    <row r="85" spans="1:16" x14ac:dyDescent="0.3">
      <c r="A85" s="9" t="s">
        <v>1091</v>
      </c>
      <c r="B85" s="10" t="s">
        <v>2053</v>
      </c>
      <c r="C85" s="11" t="s">
        <v>1149</v>
      </c>
      <c r="D85" s="12">
        <v>44001</v>
      </c>
      <c r="E85" s="12">
        <v>44005</v>
      </c>
      <c r="F85" s="13">
        <v>44287000</v>
      </c>
      <c r="G85" s="14">
        <v>0</v>
      </c>
      <c r="H85" s="9" t="s">
        <v>1150</v>
      </c>
      <c r="I85" s="15">
        <v>1082127888</v>
      </c>
      <c r="J85" s="16" t="s">
        <v>1211</v>
      </c>
      <c r="K85" s="17">
        <v>1</v>
      </c>
      <c r="L85" s="18" t="s">
        <v>716</v>
      </c>
      <c r="M85" s="19">
        <v>938000</v>
      </c>
      <c r="N85" s="19">
        <v>0</v>
      </c>
      <c r="O85" s="19">
        <f t="shared" si="2"/>
        <v>938000</v>
      </c>
      <c r="P85" s="17" t="s">
        <v>570</v>
      </c>
    </row>
    <row r="86" spans="1:16" x14ac:dyDescent="0.3">
      <c r="A86" s="9" t="s">
        <v>1091</v>
      </c>
      <c r="B86" s="10" t="s">
        <v>2053</v>
      </c>
      <c r="C86" s="11" t="s">
        <v>1149</v>
      </c>
      <c r="D86" s="12">
        <v>44001</v>
      </c>
      <c r="E86" s="12">
        <v>44005</v>
      </c>
      <c r="F86" s="13">
        <v>44287000</v>
      </c>
      <c r="G86" s="14">
        <v>0</v>
      </c>
      <c r="H86" s="9" t="s">
        <v>1150</v>
      </c>
      <c r="I86" s="15">
        <v>1082127888</v>
      </c>
      <c r="J86" s="16" t="s">
        <v>1212</v>
      </c>
      <c r="K86" s="17">
        <v>1</v>
      </c>
      <c r="L86" s="18" t="s">
        <v>716</v>
      </c>
      <c r="M86" s="19">
        <v>938000</v>
      </c>
      <c r="N86" s="19">
        <v>0</v>
      </c>
      <c r="O86" s="19">
        <f t="shared" si="2"/>
        <v>938000</v>
      </c>
      <c r="P86" s="17" t="s">
        <v>570</v>
      </c>
    </row>
    <row r="87" spans="1:16" x14ac:dyDescent="0.3">
      <c r="A87" s="9" t="s">
        <v>1091</v>
      </c>
      <c r="B87" s="10" t="s">
        <v>2053</v>
      </c>
      <c r="C87" s="11" t="s">
        <v>1149</v>
      </c>
      <c r="D87" s="12">
        <v>44001</v>
      </c>
      <c r="E87" s="12">
        <v>44005</v>
      </c>
      <c r="F87" s="13">
        <v>44287000</v>
      </c>
      <c r="G87" s="14">
        <v>0</v>
      </c>
      <c r="H87" s="9" t="s">
        <v>1150</v>
      </c>
      <c r="I87" s="15">
        <v>1082127888</v>
      </c>
      <c r="J87" s="16" t="s">
        <v>1213</v>
      </c>
      <c r="K87" s="17">
        <v>1</v>
      </c>
      <c r="L87" s="18" t="s">
        <v>716</v>
      </c>
      <c r="M87" s="19">
        <v>938000</v>
      </c>
      <c r="N87" s="19">
        <v>0</v>
      </c>
      <c r="O87" s="19">
        <f t="shared" si="2"/>
        <v>938000</v>
      </c>
      <c r="P87" s="17" t="s">
        <v>570</v>
      </c>
    </row>
    <row r="88" spans="1:16" x14ac:dyDescent="0.3">
      <c r="A88" s="9" t="s">
        <v>1091</v>
      </c>
      <c r="B88" s="10" t="s">
        <v>2053</v>
      </c>
      <c r="C88" s="11" t="s">
        <v>1149</v>
      </c>
      <c r="D88" s="12">
        <v>44001</v>
      </c>
      <c r="E88" s="12">
        <v>44005</v>
      </c>
      <c r="F88" s="13">
        <v>44287000</v>
      </c>
      <c r="G88" s="14">
        <v>0</v>
      </c>
      <c r="H88" s="9" t="s">
        <v>1150</v>
      </c>
      <c r="I88" s="15">
        <v>1082127888</v>
      </c>
      <c r="J88" s="16" t="s">
        <v>1214</v>
      </c>
      <c r="K88" s="17">
        <v>1</v>
      </c>
      <c r="L88" s="18" t="s">
        <v>716</v>
      </c>
      <c r="M88" s="19">
        <v>301500</v>
      </c>
      <c r="N88" s="19">
        <v>0</v>
      </c>
      <c r="O88" s="19">
        <f t="shared" si="2"/>
        <v>301500</v>
      </c>
      <c r="P88" s="17" t="s">
        <v>570</v>
      </c>
    </row>
    <row r="89" spans="1:16" x14ac:dyDescent="0.3">
      <c r="A89" s="9" t="s">
        <v>1091</v>
      </c>
      <c r="B89" s="10" t="s">
        <v>2053</v>
      </c>
      <c r="C89" s="11" t="s">
        <v>1149</v>
      </c>
      <c r="D89" s="12">
        <v>44001</v>
      </c>
      <c r="E89" s="12">
        <v>44005</v>
      </c>
      <c r="F89" s="13">
        <v>44287000</v>
      </c>
      <c r="G89" s="14">
        <v>0</v>
      </c>
      <c r="H89" s="9" t="s">
        <v>1150</v>
      </c>
      <c r="I89" s="15">
        <v>1082127888</v>
      </c>
      <c r="J89" s="16" t="s">
        <v>1215</v>
      </c>
      <c r="K89" s="17">
        <v>1</v>
      </c>
      <c r="L89" s="18" t="s">
        <v>716</v>
      </c>
      <c r="M89" s="19">
        <v>234500</v>
      </c>
      <c r="N89" s="19">
        <v>0</v>
      </c>
      <c r="O89" s="19">
        <f t="shared" si="2"/>
        <v>234500</v>
      </c>
      <c r="P89" s="17" t="s">
        <v>570</v>
      </c>
    </row>
    <row r="90" spans="1:16" x14ac:dyDescent="0.3">
      <c r="A90" s="9" t="s">
        <v>1091</v>
      </c>
      <c r="B90" s="10" t="s">
        <v>2053</v>
      </c>
      <c r="C90" s="11" t="s">
        <v>1149</v>
      </c>
      <c r="D90" s="12">
        <v>44001</v>
      </c>
      <c r="E90" s="12">
        <v>44005</v>
      </c>
      <c r="F90" s="13">
        <v>44287000</v>
      </c>
      <c r="G90" s="14">
        <v>0</v>
      </c>
      <c r="H90" s="9" t="s">
        <v>1150</v>
      </c>
      <c r="I90" s="15">
        <v>1082127888</v>
      </c>
      <c r="J90" s="16" t="s">
        <v>1216</v>
      </c>
      <c r="K90" s="17">
        <v>1</v>
      </c>
      <c r="L90" s="18" t="s">
        <v>716</v>
      </c>
      <c r="M90" s="19">
        <v>201000</v>
      </c>
      <c r="N90" s="19">
        <v>0</v>
      </c>
      <c r="O90" s="19">
        <f t="shared" si="2"/>
        <v>201000</v>
      </c>
      <c r="P90" s="17" t="s">
        <v>570</v>
      </c>
    </row>
    <row r="91" spans="1:16" x14ac:dyDescent="0.3">
      <c r="A91" s="9" t="s">
        <v>1091</v>
      </c>
      <c r="B91" s="10" t="s">
        <v>2053</v>
      </c>
      <c r="C91" s="11" t="s">
        <v>1149</v>
      </c>
      <c r="D91" s="12">
        <v>44001</v>
      </c>
      <c r="E91" s="12">
        <v>44005</v>
      </c>
      <c r="F91" s="13">
        <v>44287000</v>
      </c>
      <c r="G91" s="14">
        <v>0</v>
      </c>
      <c r="H91" s="9" t="s">
        <v>1150</v>
      </c>
      <c r="I91" s="15">
        <v>1082127888</v>
      </c>
      <c r="J91" s="16" t="s">
        <v>1217</v>
      </c>
      <c r="K91" s="17">
        <v>1</v>
      </c>
      <c r="L91" s="18" t="s">
        <v>716</v>
      </c>
      <c r="M91" s="19">
        <v>201000</v>
      </c>
      <c r="N91" s="19">
        <v>0</v>
      </c>
      <c r="O91" s="19">
        <f t="shared" si="2"/>
        <v>201000</v>
      </c>
      <c r="P91" s="17" t="s">
        <v>570</v>
      </c>
    </row>
    <row r="92" spans="1:16" x14ac:dyDescent="0.3">
      <c r="A92" s="9" t="s">
        <v>1091</v>
      </c>
      <c r="B92" s="10" t="s">
        <v>2053</v>
      </c>
      <c r="C92" s="11" t="s">
        <v>1149</v>
      </c>
      <c r="D92" s="12">
        <v>44001</v>
      </c>
      <c r="E92" s="12">
        <v>44005</v>
      </c>
      <c r="F92" s="13">
        <v>44287000</v>
      </c>
      <c r="G92" s="14">
        <v>0</v>
      </c>
      <c r="H92" s="9" t="s">
        <v>1150</v>
      </c>
      <c r="I92" s="15">
        <v>1082127888</v>
      </c>
      <c r="J92" s="16" t="s">
        <v>1218</v>
      </c>
      <c r="K92" s="17">
        <v>1</v>
      </c>
      <c r="L92" s="18" t="s">
        <v>716</v>
      </c>
      <c r="M92" s="19">
        <v>201000</v>
      </c>
      <c r="N92" s="19">
        <v>0</v>
      </c>
      <c r="O92" s="19">
        <f t="shared" si="2"/>
        <v>201000</v>
      </c>
      <c r="P92" s="17" t="s">
        <v>570</v>
      </c>
    </row>
    <row r="93" spans="1:16" x14ac:dyDescent="0.3">
      <c r="A93" s="9" t="s">
        <v>1091</v>
      </c>
      <c r="B93" s="10" t="s">
        <v>2053</v>
      </c>
      <c r="C93" s="11" t="s">
        <v>1149</v>
      </c>
      <c r="D93" s="12">
        <v>44001</v>
      </c>
      <c r="E93" s="12">
        <v>44005</v>
      </c>
      <c r="F93" s="13">
        <v>44287000</v>
      </c>
      <c r="G93" s="14">
        <v>0</v>
      </c>
      <c r="H93" s="9" t="s">
        <v>1150</v>
      </c>
      <c r="I93" s="15">
        <v>1082127888</v>
      </c>
      <c r="J93" s="16" t="s">
        <v>1219</v>
      </c>
      <c r="K93" s="17">
        <v>1</v>
      </c>
      <c r="L93" s="18" t="s">
        <v>716</v>
      </c>
      <c r="M93" s="19">
        <v>201000</v>
      </c>
      <c r="N93" s="19">
        <v>0</v>
      </c>
      <c r="O93" s="19">
        <f t="shared" si="2"/>
        <v>201000</v>
      </c>
      <c r="P93" s="17" t="s">
        <v>570</v>
      </c>
    </row>
    <row r="94" spans="1:16" x14ac:dyDescent="0.3">
      <c r="A94" s="9" t="s">
        <v>1091</v>
      </c>
      <c r="B94" s="10" t="s">
        <v>2053</v>
      </c>
      <c r="C94" s="11" t="s">
        <v>1149</v>
      </c>
      <c r="D94" s="12">
        <v>44001</v>
      </c>
      <c r="E94" s="12">
        <v>44005</v>
      </c>
      <c r="F94" s="13">
        <v>44287000</v>
      </c>
      <c r="G94" s="14">
        <v>0</v>
      </c>
      <c r="H94" s="9" t="s">
        <v>1150</v>
      </c>
      <c r="I94" s="15">
        <v>1082127888</v>
      </c>
      <c r="J94" s="16" t="s">
        <v>1220</v>
      </c>
      <c r="K94" s="17">
        <v>1</v>
      </c>
      <c r="L94" s="18" t="s">
        <v>716</v>
      </c>
      <c r="M94" s="19">
        <v>201000</v>
      </c>
      <c r="N94" s="19">
        <v>0</v>
      </c>
      <c r="O94" s="19">
        <f t="shared" si="2"/>
        <v>201000</v>
      </c>
      <c r="P94" s="17" t="s">
        <v>570</v>
      </c>
    </row>
    <row r="95" spans="1:16" x14ac:dyDescent="0.3">
      <c r="A95" s="9" t="s">
        <v>1091</v>
      </c>
      <c r="B95" s="10" t="s">
        <v>2053</v>
      </c>
      <c r="C95" s="11" t="s">
        <v>1149</v>
      </c>
      <c r="D95" s="12">
        <v>44001</v>
      </c>
      <c r="E95" s="12">
        <v>44005</v>
      </c>
      <c r="F95" s="13">
        <v>44287000</v>
      </c>
      <c r="G95" s="14">
        <v>0</v>
      </c>
      <c r="H95" s="9" t="s">
        <v>1150</v>
      </c>
      <c r="I95" s="15">
        <v>1082127888</v>
      </c>
      <c r="J95" s="16" t="s">
        <v>1221</v>
      </c>
      <c r="K95" s="17">
        <v>1</v>
      </c>
      <c r="L95" s="18" t="s">
        <v>716</v>
      </c>
      <c r="M95" s="19">
        <v>201000</v>
      </c>
      <c r="N95" s="19">
        <v>0</v>
      </c>
      <c r="O95" s="19">
        <f t="shared" si="2"/>
        <v>201000</v>
      </c>
      <c r="P95" s="17" t="s">
        <v>570</v>
      </c>
    </row>
    <row r="96" spans="1:16" x14ac:dyDescent="0.3">
      <c r="A96" s="9" t="s">
        <v>1091</v>
      </c>
      <c r="B96" s="10" t="s">
        <v>2053</v>
      </c>
      <c r="C96" s="11" t="s">
        <v>1149</v>
      </c>
      <c r="D96" s="12">
        <v>44001</v>
      </c>
      <c r="E96" s="12">
        <v>44005</v>
      </c>
      <c r="F96" s="13">
        <v>44287000</v>
      </c>
      <c r="G96" s="14">
        <v>0</v>
      </c>
      <c r="H96" s="9" t="s">
        <v>1150</v>
      </c>
      <c r="I96" s="15">
        <v>1082127888</v>
      </c>
      <c r="J96" s="16" t="s">
        <v>1222</v>
      </c>
      <c r="K96" s="17">
        <v>1</v>
      </c>
      <c r="L96" s="18" t="s">
        <v>716</v>
      </c>
      <c r="M96" s="19">
        <v>201000</v>
      </c>
      <c r="N96" s="19">
        <v>0</v>
      </c>
      <c r="O96" s="19">
        <f t="shared" si="2"/>
        <v>201000</v>
      </c>
      <c r="P96" s="17" t="s">
        <v>570</v>
      </c>
    </row>
    <row r="97" spans="1:16" x14ac:dyDescent="0.3">
      <c r="A97" s="9" t="s">
        <v>1091</v>
      </c>
      <c r="B97" s="10" t="s">
        <v>2053</v>
      </c>
      <c r="C97" s="11" t="s">
        <v>1149</v>
      </c>
      <c r="D97" s="12">
        <v>44001</v>
      </c>
      <c r="E97" s="12">
        <v>44005</v>
      </c>
      <c r="F97" s="13">
        <v>44287000</v>
      </c>
      <c r="G97" s="14">
        <v>0</v>
      </c>
      <c r="H97" s="9" t="s">
        <v>1150</v>
      </c>
      <c r="I97" s="15">
        <v>1082127888</v>
      </c>
      <c r="J97" s="16" t="s">
        <v>1223</v>
      </c>
      <c r="K97" s="17">
        <v>3</v>
      </c>
      <c r="L97" s="18" t="s">
        <v>716</v>
      </c>
      <c r="M97" s="19">
        <v>670000</v>
      </c>
      <c r="N97" s="19">
        <v>0</v>
      </c>
      <c r="O97" s="19">
        <f t="shared" si="2"/>
        <v>2010000</v>
      </c>
      <c r="P97" s="17" t="s">
        <v>570</v>
      </c>
    </row>
    <row r="98" spans="1:16" x14ac:dyDescent="0.3">
      <c r="A98" s="9" t="s">
        <v>1091</v>
      </c>
      <c r="B98" s="10" t="s">
        <v>2053</v>
      </c>
      <c r="C98" s="11" t="s">
        <v>1149</v>
      </c>
      <c r="D98" s="12">
        <v>44001</v>
      </c>
      <c r="E98" s="12">
        <v>44005</v>
      </c>
      <c r="F98" s="13">
        <v>44287000</v>
      </c>
      <c r="G98" s="14">
        <v>0</v>
      </c>
      <c r="H98" s="9" t="s">
        <v>1150</v>
      </c>
      <c r="I98" s="15">
        <v>1082127888</v>
      </c>
      <c r="J98" s="16" t="s">
        <v>1224</v>
      </c>
      <c r="K98" s="17">
        <v>3</v>
      </c>
      <c r="L98" s="18" t="s">
        <v>716</v>
      </c>
      <c r="M98" s="19">
        <v>335000</v>
      </c>
      <c r="N98" s="19">
        <v>0</v>
      </c>
      <c r="O98" s="19">
        <f t="shared" si="2"/>
        <v>1005000</v>
      </c>
      <c r="P98" s="17" t="s">
        <v>570</v>
      </c>
    </row>
    <row r="99" spans="1:16" x14ac:dyDescent="0.3">
      <c r="A99" s="9" t="s">
        <v>1091</v>
      </c>
      <c r="B99" s="10" t="s">
        <v>2053</v>
      </c>
      <c r="C99" s="11" t="s">
        <v>1149</v>
      </c>
      <c r="D99" s="12">
        <v>44001</v>
      </c>
      <c r="E99" s="12">
        <v>44005</v>
      </c>
      <c r="F99" s="13">
        <v>44287000</v>
      </c>
      <c r="G99" s="14">
        <v>0</v>
      </c>
      <c r="H99" s="9" t="s">
        <v>1150</v>
      </c>
      <c r="I99" s="15">
        <v>1082127888</v>
      </c>
      <c r="J99" s="16" t="s">
        <v>1225</v>
      </c>
      <c r="K99" s="17">
        <v>2</v>
      </c>
      <c r="L99" s="18" t="s">
        <v>716</v>
      </c>
      <c r="M99" s="19">
        <v>201000</v>
      </c>
      <c r="N99" s="19">
        <v>0</v>
      </c>
      <c r="O99" s="19">
        <f t="shared" si="2"/>
        <v>402000</v>
      </c>
      <c r="P99" s="17" t="s">
        <v>570</v>
      </c>
    </row>
    <row r="100" spans="1:16" x14ac:dyDescent="0.3">
      <c r="A100" s="9" t="s">
        <v>1091</v>
      </c>
      <c r="B100" s="10" t="s">
        <v>2053</v>
      </c>
      <c r="C100" s="11" t="s">
        <v>1149</v>
      </c>
      <c r="D100" s="12">
        <v>44001</v>
      </c>
      <c r="E100" s="12">
        <v>44005</v>
      </c>
      <c r="F100" s="13">
        <v>44287000</v>
      </c>
      <c r="G100" s="14">
        <v>0</v>
      </c>
      <c r="H100" s="9" t="s">
        <v>1150</v>
      </c>
      <c r="I100" s="15">
        <v>1082127888</v>
      </c>
      <c r="J100" s="16" t="s">
        <v>1226</v>
      </c>
      <c r="K100" s="17">
        <v>1</v>
      </c>
      <c r="L100" s="18" t="s">
        <v>716</v>
      </c>
      <c r="M100" s="19">
        <v>402000</v>
      </c>
      <c r="N100" s="19">
        <v>0</v>
      </c>
      <c r="O100" s="19">
        <f t="shared" si="2"/>
        <v>402000</v>
      </c>
      <c r="P100" s="17" t="s">
        <v>570</v>
      </c>
    </row>
    <row r="101" spans="1:16" x14ac:dyDescent="0.3">
      <c r="A101" s="9" t="s">
        <v>1091</v>
      </c>
      <c r="B101" s="10" t="s">
        <v>2053</v>
      </c>
      <c r="C101" s="11" t="s">
        <v>1149</v>
      </c>
      <c r="D101" s="12">
        <v>44001</v>
      </c>
      <c r="E101" s="12">
        <v>44005</v>
      </c>
      <c r="F101" s="13">
        <v>44287000</v>
      </c>
      <c r="G101" s="14">
        <v>0</v>
      </c>
      <c r="H101" s="9" t="s">
        <v>1150</v>
      </c>
      <c r="I101" s="15">
        <v>1082127888</v>
      </c>
      <c r="J101" s="16" t="s">
        <v>1227</v>
      </c>
      <c r="K101" s="17">
        <v>3</v>
      </c>
      <c r="L101" s="18" t="s">
        <v>716</v>
      </c>
      <c r="M101" s="19">
        <v>402000</v>
      </c>
      <c r="N101" s="19">
        <v>0</v>
      </c>
      <c r="O101" s="19">
        <f t="shared" si="2"/>
        <v>1206000</v>
      </c>
      <c r="P101" s="17" t="s">
        <v>570</v>
      </c>
    </row>
    <row r="102" spans="1:16" x14ac:dyDescent="0.3">
      <c r="A102" s="9" t="s">
        <v>1091</v>
      </c>
      <c r="B102" s="10" t="s">
        <v>2053</v>
      </c>
      <c r="C102" s="11" t="s">
        <v>1149</v>
      </c>
      <c r="D102" s="12">
        <v>44001</v>
      </c>
      <c r="E102" s="12">
        <v>44005</v>
      </c>
      <c r="F102" s="13">
        <v>44287000</v>
      </c>
      <c r="G102" s="14">
        <v>0</v>
      </c>
      <c r="H102" s="9" t="s">
        <v>1150</v>
      </c>
      <c r="I102" s="15">
        <v>1082127888</v>
      </c>
      <c r="J102" s="16" t="s">
        <v>1228</v>
      </c>
      <c r="K102" s="17">
        <v>2</v>
      </c>
      <c r="L102" s="18" t="s">
        <v>716</v>
      </c>
      <c r="M102" s="19">
        <v>268000</v>
      </c>
      <c r="N102" s="19">
        <v>0</v>
      </c>
      <c r="O102" s="19">
        <f t="shared" si="2"/>
        <v>536000</v>
      </c>
      <c r="P102" s="17" t="s">
        <v>570</v>
      </c>
    </row>
    <row r="103" spans="1:16" x14ac:dyDescent="0.3">
      <c r="A103" s="9" t="s">
        <v>1091</v>
      </c>
      <c r="B103" s="10" t="s">
        <v>2053</v>
      </c>
      <c r="C103" s="11" t="s">
        <v>1149</v>
      </c>
      <c r="D103" s="12">
        <v>44001</v>
      </c>
      <c r="E103" s="12">
        <v>44005</v>
      </c>
      <c r="F103" s="13">
        <v>44287000</v>
      </c>
      <c r="G103" s="14">
        <v>0</v>
      </c>
      <c r="H103" s="9" t="s">
        <v>1150</v>
      </c>
      <c r="I103" s="15">
        <v>1082127888</v>
      </c>
      <c r="J103" s="16" t="s">
        <v>1229</v>
      </c>
      <c r="K103" s="17">
        <v>3</v>
      </c>
      <c r="L103" s="18" t="s">
        <v>716</v>
      </c>
      <c r="M103" s="19">
        <v>268000</v>
      </c>
      <c r="N103" s="19">
        <v>0</v>
      </c>
      <c r="O103" s="19">
        <f t="shared" si="2"/>
        <v>804000</v>
      </c>
      <c r="P103" s="17" t="s">
        <v>570</v>
      </c>
    </row>
    <row r="104" spans="1:16" x14ac:dyDescent="0.3">
      <c r="A104" s="9" t="s">
        <v>1091</v>
      </c>
      <c r="B104" s="10" t="s">
        <v>2053</v>
      </c>
      <c r="C104" s="11" t="s">
        <v>1149</v>
      </c>
      <c r="D104" s="12">
        <v>44001</v>
      </c>
      <c r="E104" s="12">
        <v>44005</v>
      </c>
      <c r="F104" s="13">
        <v>44287000</v>
      </c>
      <c r="G104" s="14">
        <v>0</v>
      </c>
      <c r="H104" s="9" t="s">
        <v>1150</v>
      </c>
      <c r="I104" s="15">
        <v>1082127888</v>
      </c>
      <c r="J104" s="16" t="s">
        <v>1230</v>
      </c>
      <c r="K104" s="17">
        <v>1</v>
      </c>
      <c r="L104" s="18" t="s">
        <v>716</v>
      </c>
      <c r="M104" s="19">
        <v>301500</v>
      </c>
      <c r="N104" s="19">
        <v>0</v>
      </c>
      <c r="O104" s="19">
        <f t="shared" si="2"/>
        <v>301500</v>
      </c>
      <c r="P104" s="17" t="s">
        <v>570</v>
      </c>
    </row>
    <row r="105" spans="1:16" x14ac:dyDescent="0.3">
      <c r="A105" s="9" t="s">
        <v>1091</v>
      </c>
      <c r="B105" s="10" t="s">
        <v>2053</v>
      </c>
      <c r="C105" s="11" t="s">
        <v>1149</v>
      </c>
      <c r="D105" s="12">
        <v>44001</v>
      </c>
      <c r="E105" s="12">
        <v>44005</v>
      </c>
      <c r="F105" s="13">
        <v>44287000</v>
      </c>
      <c r="G105" s="14">
        <v>0</v>
      </c>
      <c r="H105" s="9" t="s">
        <v>1150</v>
      </c>
      <c r="I105" s="15">
        <v>1082127888</v>
      </c>
      <c r="J105" s="16" t="s">
        <v>1231</v>
      </c>
      <c r="K105" s="17">
        <v>1</v>
      </c>
      <c r="L105" s="18" t="s">
        <v>716</v>
      </c>
      <c r="M105" s="19">
        <v>301500</v>
      </c>
      <c r="N105" s="19">
        <v>0</v>
      </c>
      <c r="O105" s="19">
        <f t="shared" si="2"/>
        <v>301500</v>
      </c>
      <c r="P105" s="17" t="s">
        <v>570</v>
      </c>
    </row>
    <row r="106" spans="1:16" x14ac:dyDescent="0.3">
      <c r="A106" s="9" t="s">
        <v>1091</v>
      </c>
      <c r="B106" s="10" t="s">
        <v>2053</v>
      </c>
      <c r="C106" s="11" t="s">
        <v>1149</v>
      </c>
      <c r="D106" s="12">
        <v>44001</v>
      </c>
      <c r="E106" s="12">
        <v>44005</v>
      </c>
      <c r="F106" s="13">
        <v>44287000</v>
      </c>
      <c r="G106" s="14">
        <v>0</v>
      </c>
      <c r="H106" s="9" t="s">
        <v>1150</v>
      </c>
      <c r="I106" s="15">
        <v>1082127888</v>
      </c>
      <c r="J106" s="16" t="s">
        <v>1910</v>
      </c>
      <c r="K106" s="17">
        <v>2</v>
      </c>
      <c r="L106" s="18" t="s">
        <v>716</v>
      </c>
      <c r="M106" s="19">
        <v>234500</v>
      </c>
      <c r="N106" s="19">
        <v>0</v>
      </c>
      <c r="O106" s="19">
        <f t="shared" si="2"/>
        <v>469000</v>
      </c>
      <c r="P106" s="17" t="s">
        <v>570</v>
      </c>
    </row>
    <row r="107" spans="1:16" x14ac:dyDescent="0.3">
      <c r="A107" s="9" t="s">
        <v>1091</v>
      </c>
      <c r="B107" s="10" t="s">
        <v>2053</v>
      </c>
      <c r="C107" s="11" t="s">
        <v>1149</v>
      </c>
      <c r="D107" s="12">
        <v>44001</v>
      </c>
      <c r="E107" s="12">
        <v>44005</v>
      </c>
      <c r="F107" s="13">
        <v>44287000</v>
      </c>
      <c r="G107" s="14">
        <v>0</v>
      </c>
      <c r="H107" s="9" t="s">
        <v>1150</v>
      </c>
      <c r="I107" s="15">
        <v>1082127888</v>
      </c>
      <c r="J107" s="16" t="s">
        <v>1232</v>
      </c>
      <c r="K107" s="17">
        <v>1</v>
      </c>
      <c r="L107" s="18" t="s">
        <v>716</v>
      </c>
      <c r="M107" s="19">
        <v>167500</v>
      </c>
      <c r="N107" s="19">
        <v>0</v>
      </c>
      <c r="O107" s="19">
        <f t="shared" si="2"/>
        <v>167500</v>
      </c>
      <c r="P107" s="17" t="s">
        <v>570</v>
      </c>
    </row>
    <row r="108" spans="1:16" x14ac:dyDescent="0.3">
      <c r="A108" s="9" t="s">
        <v>1091</v>
      </c>
      <c r="B108" s="10" t="s">
        <v>2053</v>
      </c>
      <c r="C108" s="11" t="s">
        <v>1149</v>
      </c>
      <c r="D108" s="12">
        <v>44001</v>
      </c>
      <c r="E108" s="12">
        <v>44005</v>
      </c>
      <c r="F108" s="13">
        <v>44287000</v>
      </c>
      <c r="G108" s="14">
        <v>0</v>
      </c>
      <c r="H108" s="9" t="s">
        <v>1150</v>
      </c>
      <c r="I108" s="15">
        <v>1082127888</v>
      </c>
      <c r="J108" s="16" t="s">
        <v>1233</v>
      </c>
      <c r="K108" s="17">
        <v>1</v>
      </c>
      <c r="L108" s="18" t="s">
        <v>716</v>
      </c>
      <c r="M108" s="19">
        <v>167500</v>
      </c>
      <c r="N108" s="19">
        <v>0</v>
      </c>
      <c r="O108" s="19">
        <f t="shared" si="2"/>
        <v>167500</v>
      </c>
      <c r="P108" s="17" t="s">
        <v>570</v>
      </c>
    </row>
    <row r="109" spans="1:16" x14ac:dyDescent="0.3">
      <c r="A109" s="9" t="s">
        <v>1091</v>
      </c>
      <c r="B109" s="10" t="s">
        <v>2053</v>
      </c>
      <c r="C109" s="11" t="s">
        <v>1149</v>
      </c>
      <c r="D109" s="12">
        <v>44001</v>
      </c>
      <c r="E109" s="12">
        <v>44005</v>
      </c>
      <c r="F109" s="13">
        <v>44287000</v>
      </c>
      <c r="G109" s="14">
        <v>0</v>
      </c>
      <c r="H109" s="9" t="s">
        <v>1150</v>
      </c>
      <c r="I109" s="15">
        <v>1082127888</v>
      </c>
      <c r="J109" s="16" t="s">
        <v>1234</v>
      </c>
      <c r="K109" s="17">
        <v>1</v>
      </c>
      <c r="L109" s="18" t="s">
        <v>716</v>
      </c>
      <c r="M109" s="19">
        <v>167500</v>
      </c>
      <c r="N109" s="19">
        <v>0</v>
      </c>
      <c r="O109" s="19">
        <f t="shared" si="2"/>
        <v>167500</v>
      </c>
      <c r="P109" s="17" t="s">
        <v>570</v>
      </c>
    </row>
  </sheetData>
  <dataValidations count="14">
    <dataValidation type="date" allowBlank="1" showInputMessage="1" errorTitle="Entrada no válida" error="Por favor escriba una fecha válida (AAAA/MM/DD)" promptTitle="Ingrese una fecha (AAAA/MM/DD)" prompt=" Registre la fecha en la cual se SUSCRIBIÓ el contrato  (Formato AAAA/MM/DD)." sqref="D2 D19:D20 D90:D109 D81:D82">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19:E20 E2 E90:E10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19:F20 F2 F90:F10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20 A107:A109">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2">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19:H20 H2 H78:H80 H83:H10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B19:B20 B100:B109 B81:B82">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15:E18 D21:E8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3:G10 G12: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19:I20 I78:I80 I83:I106">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78:F80 F83:F8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07:J10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78:B80 B83:B8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D83:E89">
      <formula1>-9223372036854770000</formula1>
      <formula2>9223372036854770000</formula2>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sqref="A1:P2"/>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1291</v>
      </c>
      <c r="B2" s="10">
        <v>61827</v>
      </c>
      <c r="C2" s="11" t="s">
        <v>2191</v>
      </c>
      <c r="D2" s="12">
        <v>44180</v>
      </c>
      <c r="E2" s="12">
        <v>44180</v>
      </c>
      <c r="F2" s="13">
        <v>21820000</v>
      </c>
      <c r="G2" s="14">
        <v>0</v>
      </c>
      <c r="H2" s="9" t="s">
        <v>2192</v>
      </c>
      <c r="I2" s="15">
        <v>900225460</v>
      </c>
      <c r="J2" s="16" t="s">
        <v>2195</v>
      </c>
      <c r="K2" s="17">
        <v>20</v>
      </c>
      <c r="L2" s="18" t="s">
        <v>21</v>
      </c>
      <c r="M2" s="19">
        <v>1091000</v>
      </c>
      <c r="N2" s="19">
        <v>0</v>
      </c>
      <c r="O2" s="19">
        <f t="shared" ref="O2" si="0">K2*(M2+N2)</f>
        <v>21820000</v>
      </c>
      <c r="P2" s="17" t="s">
        <v>2196</v>
      </c>
    </row>
  </sheetData>
  <dataValidations count="1">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
      <formula1>0</formula1>
      <formula2>390</formula2>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selection sqref="A1:P93"/>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1982</v>
      </c>
      <c r="C2" s="11" t="s">
        <v>28</v>
      </c>
      <c r="D2" s="12">
        <v>43916</v>
      </c>
      <c r="E2" s="12">
        <v>43919</v>
      </c>
      <c r="F2" s="13">
        <v>7000000</v>
      </c>
      <c r="G2" s="14">
        <v>0</v>
      </c>
      <c r="H2" s="9" t="s">
        <v>29</v>
      </c>
      <c r="I2" s="15">
        <v>900173793</v>
      </c>
      <c r="J2" s="16" t="s">
        <v>30</v>
      </c>
      <c r="K2" s="17">
        <v>7000</v>
      </c>
      <c r="L2" s="18" t="s">
        <v>21</v>
      </c>
      <c r="M2" s="19">
        <v>840.33609999999999</v>
      </c>
      <c r="N2" s="19">
        <f t="shared" ref="N2:N3" si="0">M2*0.19</f>
        <v>159.663859</v>
      </c>
      <c r="O2" s="19">
        <f t="shared" ref="O2:O65" si="1">K2*(M2+N2)</f>
        <v>6999999.7129999995</v>
      </c>
      <c r="P2" s="17" t="s">
        <v>31</v>
      </c>
    </row>
    <row r="3" spans="1:16" x14ac:dyDescent="0.3">
      <c r="A3" s="9" t="s">
        <v>16</v>
      </c>
      <c r="B3" s="10" t="s">
        <v>46</v>
      </c>
      <c r="C3" s="11" t="s">
        <v>47</v>
      </c>
      <c r="D3" s="12">
        <v>43967</v>
      </c>
      <c r="E3" s="12">
        <v>43967</v>
      </c>
      <c r="F3" s="13">
        <v>3675000</v>
      </c>
      <c r="G3" s="14">
        <v>0</v>
      </c>
      <c r="H3" s="9" t="s">
        <v>48</v>
      </c>
      <c r="I3" s="15">
        <v>901243179</v>
      </c>
      <c r="J3" s="16" t="s">
        <v>49</v>
      </c>
      <c r="K3" s="17">
        <v>4000</v>
      </c>
      <c r="L3" s="18" t="s">
        <v>21</v>
      </c>
      <c r="M3" s="19">
        <v>772.05880000000002</v>
      </c>
      <c r="N3" s="19">
        <f t="shared" si="0"/>
        <v>146.69117199999999</v>
      </c>
      <c r="O3" s="19">
        <f t="shared" si="1"/>
        <v>3674999.8880000003</v>
      </c>
      <c r="P3" s="17" t="s">
        <v>31</v>
      </c>
    </row>
    <row r="4" spans="1:16" x14ac:dyDescent="0.3">
      <c r="A4" s="9" t="s">
        <v>16</v>
      </c>
      <c r="B4" s="10" t="s">
        <v>113</v>
      </c>
      <c r="C4" s="11" t="s">
        <v>1756</v>
      </c>
      <c r="D4" s="12">
        <v>44130</v>
      </c>
      <c r="E4" s="12">
        <v>44140</v>
      </c>
      <c r="F4" s="26">
        <v>6750000</v>
      </c>
      <c r="G4" s="27">
        <v>0</v>
      </c>
      <c r="H4" s="9" t="s">
        <v>114</v>
      </c>
      <c r="I4" s="15">
        <v>901189640</v>
      </c>
      <c r="J4" s="16" t="s">
        <v>115</v>
      </c>
      <c r="K4" s="17">
        <v>540</v>
      </c>
      <c r="L4" s="18" t="s">
        <v>21</v>
      </c>
      <c r="M4" s="19">
        <v>12500</v>
      </c>
      <c r="N4" s="19">
        <v>0</v>
      </c>
      <c r="O4" s="19">
        <f t="shared" si="1"/>
        <v>6750000</v>
      </c>
      <c r="P4" s="17" t="s">
        <v>31</v>
      </c>
    </row>
    <row r="5" spans="1:16" x14ac:dyDescent="0.3">
      <c r="A5" s="9" t="s">
        <v>138</v>
      </c>
      <c r="B5" s="10" t="s">
        <v>174</v>
      </c>
      <c r="C5" s="28" t="s">
        <v>175</v>
      </c>
      <c r="D5" s="12">
        <v>43971</v>
      </c>
      <c r="E5" s="12">
        <v>43969</v>
      </c>
      <c r="F5" s="13">
        <v>7686300</v>
      </c>
      <c r="G5" s="14">
        <v>0</v>
      </c>
      <c r="H5" s="9" t="s">
        <v>172</v>
      </c>
      <c r="I5" s="15">
        <v>900155107</v>
      </c>
      <c r="J5" s="16" t="s">
        <v>176</v>
      </c>
      <c r="K5" s="17">
        <v>5000</v>
      </c>
      <c r="L5" s="18" t="s">
        <v>21</v>
      </c>
      <c r="M5" s="19">
        <v>1537.26</v>
      </c>
      <c r="N5" s="19">
        <v>0</v>
      </c>
      <c r="O5" s="19">
        <f t="shared" si="1"/>
        <v>7686300</v>
      </c>
      <c r="P5" s="17" t="s">
        <v>31</v>
      </c>
    </row>
    <row r="6" spans="1:16" x14ac:dyDescent="0.3">
      <c r="A6" s="9" t="s">
        <v>138</v>
      </c>
      <c r="B6" s="10" t="s">
        <v>177</v>
      </c>
      <c r="C6" s="28" t="s">
        <v>178</v>
      </c>
      <c r="D6" s="12">
        <v>43983</v>
      </c>
      <c r="E6" s="12">
        <v>43983</v>
      </c>
      <c r="F6" s="13">
        <v>20300000</v>
      </c>
      <c r="G6" s="14">
        <v>0</v>
      </c>
      <c r="H6" s="9" t="s">
        <v>179</v>
      </c>
      <c r="I6" s="15">
        <v>890106665</v>
      </c>
      <c r="J6" s="16" t="s">
        <v>180</v>
      </c>
      <c r="K6" s="17">
        <v>7000</v>
      </c>
      <c r="L6" s="18" t="s">
        <v>21</v>
      </c>
      <c r="M6" s="19">
        <v>2900</v>
      </c>
      <c r="N6" s="19">
        <v>0</v>
      </c>
      <c r="O6" s="19">
        <f t="shared" si="1"/>
        <v>20300000</v>
      </c>
      <c r="P6" s="17" t="s">
        <v>31</v>
      </c>
    </row>
    <row r="7" spans="1:16" x14ac:dyDescent="0.3">
      <c r="A7" s="9" t="s">
        <v>196</v>
      </c>
      <c r="B7" s="10" t="s">
        <v>203</v>
      </c>
      <c r="C7" s="11" t="s">
        <v>204</v>
      </c>
      <c r="D7" s="12">
        <v>43916</v>
      </c>
      <c r="E7" s="12">
        <v>43920</v>
      </c>
      <c r="F7" s="13">
        <v>219927500</v>
      </c>
      <c r="G7" s="14">
        <v>0</v>
      </c>
      <c r="H7" s="9" t="s">
        <v>205</v>
      </c>
      <c r="I7" s="15">
        <v>900521780</v>
      </c>
      <c r="J7" s="16" t="s">
        <v>176</v>
      </c>
      <c r="K7" s="17">
        <v>150000</v>
      </c>
      <c r="L7" s="18" t="s">
        <v>21</v>
      </c>
      <c r="M7" s="19">
        <v>910</v>
      </c>
      <c r="N7" s="19">
        <v>0</v>
      </c>
      <c r="O7" s="19">
        <f t="shared" si="1"/>
        <v>136500000</v>
      </c>
      <c r="P7" s="17" t="s">
        <v>31</v>
      </c>
    </row>
    <row r="8" spans="1:16" x14ac:dyDescent="0.3">
      <c r="A8" s="9" t="s">
        <v>196</v>
      </c>
      <c r="B8" s="10" t="s">
        <v>181</v>
      </c>
      <c r="C8" s="11" t="s">
        <v>230</v>
      </c>
      <c r="D8" s="12">
        <v>43978</v>
      </c>
      <c r="E8" s="12">
        <v>43980</v>
      </c>
      <c r="F8" s="13">
        <v>418175000</v>
      </c>
      <c r="G8" s="14">
        <v>0</v>
      </c>
      <c r="H8" s="9" t="s">
        <v>231</v>
      </c>
      <c r="I8" s="15">
        <v>900053297</v>
      </c>
      <c r="J8" s="16" t="s">
        <v>232</v>
      </c>
      <c r="K8" s="17">
        <v>100</v>
      </c>
      <c r="L8" s="18" t="s">
        <v>21</v>
      </c>
      <c r="M8" s="19">
        <v>17800</v>
      </c>
      <c r="N8" s="19">
        <v>0</v>
      </c>
      <c r="O8" s="19">
        <f t="shared" si="1"/>
        <v>1780000</v>
      </c>
      <c r="P8" s="17" t="s">
        <v>31</v>
      </c>
    </row>
    <row r="9" spans="1:16" x14ac:dyDescent="0.3">
      <c r="A9" s="9" t="s">
        <v>196</v>
      </c>
      <c r="B9" s="10" t="s">
        <v>181</v>
      </c>
      <c r="C9" s="11" t="s">
        <v>230</v>
      </c>
      <c r="D9" s="12">
        <v>43978</v>
      </c>
      <c r="E9" s="12">
        <v>43980</v>
      </c>
      <c r="F9" s="13">
        <v>418175000</v>
      </c>
      <c r="G9" s="14">
        <v>0</v>
      </c>
      <c r="H9" s="9" t="s">
        <v>231</v>
      </c>
      <c r="I9" s="15">
        <v>900053297</v>
      </c>
      <c r="J9" s="16" t="s">
        <v>235</v>
      </c>
      <c r="K9" s="17">
        <v>192300</v>
      </c>
      <c r="L9" s="18" t="s">
        <v>21</v>
      </c>
      <c r="M9" s="19">
        <v>1850</v>
      </c>
      <c r="N9" s="19">
        <v>0</v>
      </c>
      <c r="O9" s="19">
        <f t="shared" si="1"/>
        <v>355755000</v>
      </c>
      <c r="P9" s="17" t="s">
        <v>31</v>
      </c>
    </row>
    <row r="10" spans="1:16" x14ac:dyDescent="0.3">
      <c r="A10" s="9" t="s">
        <v>196</v>
      </c>
      <c r="B10" s="10" t="s">
        <v>1997</v>
      </c>
      <c r="C10" s="11" t="s">
        <v>1764</v>
      </c>
      <c r="D10" s="12">
        <v>44131</v>
      </c>
      <c r="E10" s="12">
        <v>44131</v>
      </c>
      <c r="F10" s="13">
        <v>87420000</v>
      </c>
      <c r="G10" s="14">
        <v>0</v>
      </c>
      <c r="H10" s="9" t="s">
        <v>269</v>
      </c>
      <c r="I10" s="15">
        <v>900330957</v>
      </c>
      <c r="J10" s="16" t="s">
        <v>49</v>
      </c>
      <c r="K10" s="17">
        <v>8100</v>
      </c>
      <c r="L10" s="18" t="s">
        <v>21</v>
      </c>
      <c r="M10" s="19">
        <v>10792.592592592593</v>
      </c>
      <c r="N10" s="19">
        <v>0</v>
      </c>
      <c r="O10" s="19">
        <f t="shared" si="1"/>
        <v>87420000</v>
      </c>
      <c r="P10" s="17" t="s">
        <v>31</v>
      </c>
    </row>
    <row r="11" spans="1:16" x14ac:dyDescent="0.3">
      <c r="A11" s="9" t="s">
        <v>196</v>
      </c>
      <c r="B11" s="10" t="s">
        <v>2010</v>
      </c>
      <c r="C11" s="11" t="s">
        <v>1776</v>
      </c>
      <c r="D11" s="12">
        <v>44186</v>
      </c>
      <c r="E11" s="12">
        <v>44186</v>
      </c>
      <c r="F11" s="13">
        <v>591954000</v>
      </c>
      <c r="G11" s="14">
        <v>0</v>
      </c>
      <c r="H11" s="9" t="s">
        <v>281</v>
      </c>
      <c r="I11" s="15">
        <v>900053297</v>
      </c>
      <c r="J11" s="16" t="s">
        <v>49</v>
      </c>
      <c r="K11" s="17">
        <v>82000</v>
      </c>
      <c r="L11" s="18" t="s">
        <v>21</v>
      </c>
      <c r="M11" s="19">
        <v>7218.9512195121952</v>
      </c>
      <c r="N11" s="19">
        <v>0</v>
      </c>
      <c r="O11" s="19">
        <f t="shared" si="1"/>
        <v>591954000</v>
      </c>
      <c r="P11" s="17" t="s">
        <v>31</v>
      </c>
    </row>
    <row r="12" spans="1:16" x14ac:dyDescent="0.3">
      <c r="A12" s="9" t="s">
        <v>284</v>
      </c>
      <c r="B12" s="10" t="s">
        <v>294</v>
      </c>
      <c r="C12" s="11" t="s">
        <v>295</v>
      </c>
      <c r="D12" s="12">
        <v>43938</v>
      </c>
      <c r="E12" s="12">
        <v>43938</v>
      </c>
      <c r="F12" s="13">
        <v>27000000</v>
      </c>
      <c r="G12" s="14">
        <v>0</v>
      </c>
      <c r="H12" s="9" t="s">
        <v>296</v>
      </c>
      <c r="I12" s="15">
        <v>900481697</v>
      </c>
      <c r="J12" s="16" t="s">
        <v>297</v>
      </c>
      <c r="K12" s="17">
        <v>18000</v>
      </c>
      <c r="L12" s="18" t="s">
        <v>21</v>
      </c>
      <c r="M12" s="19">
        <v>1500</v>
      </c>
      <c r="N12" s="19">
        <v>0</v>
      </c>
      <c r="O12" s="19">
        <f t="shared" si="1"/>
        <v>27000000</v>
      </c>
      <c r="P12" s="17" t="s">
        <v>31</v>
      </c>
    </row>
    <row r="13" spans="1:16" x14ac:dyDescent="0.3">
      <c r="A13" s="9" t="s">
        <v>284</v>
      </c>
      <c r="B13" s="10" t="s">
        <v>352</v>
      </c>
      <c r="C13" s="11" t="s">
        <v>353</v>
      </c>
      <c r="D13" s="12">
        <v>43979</v>
      </c>
      <c r="E13" s="12">
        <v>43979</v>
      </c>
      <c r="F13" s="13">
        <v>41536001</v>
      </c>
      <c r="G13" s="14">
        <v>0</v>
      </c>
      <c r="H13" s="9" t="s">
        <v>60</v>
      </c>
      <c r="I13" s="15">
        <v>830001338</v>
      </c>
      <c r="J13" s="16" t="s">
        <v>49</v>
      </c>
      <c r="K13" s="17">
        <v>32000</v>
      </c>
      <c r="L13" s="18" t="s">
        <v>21</v>
      </c>
      <c r="M13" s="19">
        <v>1298</v>
      </c>
      <c r="N13" s="19">
        <v>0</v>
      </c>
      <c r="O13" s="19">
        <f t="shared" si="1"/>
        <v>41536000</v>
      </c>
      <c r="P13" s="17" t="s">
        <v>31</v>
      </c>
    </row>
    <row r="14" spans="1:16" x14ac:dyDescent="0.3">
      <c r="A14" s="9" t="s">
        <v>284</v>
      </c>
      <c r="B14" s="10" t="s">
        <v>354</v>
      </c>
      <c r="C14" s="11" t="s">
        <v>355</v>
      </c>
      <c r="D14" s="12">
        <v>43984</v>
      </c>
      <c r="E14" s="12">
        <v>43984</v>
      </c>
      <c r="F14" s="13">
        <v>278000</v>
      </c>
      <c r="G14" s="14">
        <v>0</v>
      </c>
      <c r="H14" s="9" t="s">
        <v>356</v>
      </c>
      <c r="I14" s="15">
        <v>900300970</v>
      </c>
      <c r="J14" s="16" t="s">
        <v>49</v>
      </c>
      <c r="K14" s="17">
        <v>200</v>
      </c>
      <c r="L14" s="18" t="s">
        <v>21</v>
      </c>
      <c r="M14" s="19">
        <v>1290</v>
      </c>
      <c r="N14" s="19">
        <v>0</v>
      </c>
      <c r="O14" s="19">
        <f t="shared" si="1"/>
        <v>258000</v>
      </c>
      <c r="P14" s="17" t="s">
        <v>31</v>
      </c>
    </row>
    <row r="15" spans="1:16" x14ac:dyDescent="0.3">
      <c r="A15" s="9" t="s">
        <v>284</v>
      </c>
      <c r="B15" s="10" t="s">
        <v>397</v>
      </c>
      <c r="C15" s="11" t="s">
        <v>1781</v>
      </c>
      <c r="D15" s="12">
        <v>44092</v>
      </c>
      <c r="E15" s="12">
        <v>44092</v>
      </c>
      <c r="F15" s="13">
        <v>68690000</v>
      </c>
      <c r="G15" s="14">
        <v>0</v>
      </c>
      <c r="H15" s="9" t="s">
        <v>398</v>
      </c>
      <c r="I15" s="15">
        <v>900401801</v>
      </c>
      <c r="J15" s="16" t="s">
        <v>399</v>
      </c>
      <c r="K15" s="17">
        <v>138000</v>
      </c>
      <c r="L15" s="18" t="s">
        <v>21</v>
      </c>
      <c r="M15" s="19">
        <v>497.75362318840581</v>
      </c>
      <c r="N15" s="19">
        <v>0</v>
      </c>
      <c r="O15" s="19">
        <f t="shared" si="1"/>
        <v>68690000</v>
      </c>
      <c r="P15" s="17" t="s">
        <v>31</v>
      </c>
    </row>
    <row r="16" spans="1:16" x14ac:dyDescent="0.3">
      <c r="A16" s="9" t="s">
        <v>402</v>
      </c>
      <c r="B16" s="10" t="s">
        <v>408</v>
      </c>
      <c r="C16" s="11" t="s">
        <v>409</v>
      </c>
      <c r="D16" s="12">
        <v>43916</v>
      </c>
      <c r="E16" s="12">
        <v>43917</v>
      </c>
      <c r="F16" s="13">
        <v>21397390</v>
      </c>
      <c r="G16" s="14">
        <v>0</v>
      </c>
      <c r="H16" s="9" t="s">
        <v>410</v>
      </c>
      <c r="I16" s="15">
        <v>901165706</v>
      </c>
      <c r="J16" s="16" t="s">
        <v>413</v>
      </c>
      <c r="K16" s="17">
        <v>4954</v>
      </c>
      <c r="L16" s="18" t="s">
        <v>21</v>
      </c>
      <c r="M16" s="19">
        <v>1785</v>
      </c>
      <c r="N16" s="19">
        <v>0</v>
      </c>
      <c r="O16" s="19">
        <f t="shared" si="1"/>
        <v>8842890</v>
      </c>
      <c r="P16" s="17" t="s">
        <v>31</v>
      </c>
    </row>
    <row r="17" spans="1:16" x14ac:dyDescent="0.3">
      <c r="A17" s="9" t="s">
        <v>402</v>
      </c>
      <c r="B17" s="10" t="s">
        <v>174</v>
      </c>
      <c r="C17" s="11" t="s">
        <v>430</v>
      </c>
      <c r="D17" s="12">
        <v>43970</v>
      </c>
      <c r="E17" s="12">
        <v>43972</v>
      </c>
      <c r="F17" s="13">
        <v>87000000</v>
      </c>
      <c r="G17" s="14">
        <v>0</v>
      </c>
      <c r="H17" s="9" t="s">
        <v>431</v>
      </c>
      <c r="I17" s="15">
        <v>805026532</v>
      </c>
      <c r="J17" s="16" t="s">
        <v>176</v>
      </c>
      <c r="K17" s="17">
        <v>58000</v>
      </c>
      <c r="L17" s="18" t="s">
        <v>21</v>
      </c>
      <c r="M17" s="19">
        <v>1500</v>
      </c>
      <c r="N17" s="19">
        <v>0</v>
      </c>
      <c r="O17" s="19">
        <f t="shared" si="1"/>
        <v>87000000</v>
      </c>
      <c r="P17" s="17" t="s">
        <v>31</v>
      </c>
    </row>
    <row r="18" spans="1:16" x14ac:dyDescent="0.3">
      <c r="A18" s="9" t="s">
        <v>402</v>
      </c>
      <c r="B18" s="10" t="s">
        <v>464</v>
      </c>
      <c r="C18" s="11" t="s">
        <v>465</v>
      </c>
      <c r="D18" s="12">
        <v>44042</v>
      </c>
      <c r="E18" s="12">
        <v>44047</v>
      </c>
      <c r="F18" s="13">
        <v>92268536.230000004</v>
      </c>
      <c r="G18" s="14">
        <v>0</v>
      </c>
      <c r="H18" s="9" t="s">
        <v>466</v>
      </c>
      <c r="I18" s="15">
        <v>901171132</v>
      </c>
      <c r="J18" s="16" t="s">
        <v>467</v>
      </c>
      <c r="K18" s="17">
        <f>435034/2</f>
        <v>217517</v>
      </c>
      <c r="L18" s="18" t="s">
        <v>21</v>
      </c>
      <c r="M18" s="19">
        <v>424.19</v>
      </c>
      <c r="N18" s="19">
        <v>0</v>
      </c>
      <c r="O18" s="19">
        <f t="shared" si="1"/>
        <v>92268536.230000004</v>
      </c>
      <c r="P18" s="17" t="s">
        <v>31</v>
      </c>
    </row>
    <row r="19" spans="1:16" x14ac:dyDescent="0.3">
      <c r="A19" s="9" t="s">
        <v>402</v>
      </c>
      <c r="B19" s="10" t="s">
        <v>464</v>
      </c>
      <c r="C19" s="11" t="s">
        <v>465</v>
      </c>
      <c r="D19" s="12">
        <v>44042</v>
      </c>
      <c r="E19" s="12">
        <v>44047</v>
      </c>
      <c r="F19" s="13">
        <v>0</v>
      </c>
      <c r="G19" s="30">
        <v>46134056.020000003</v>
      </c>
      <c r="H19" s="9" t="s">
        <v>466</v>
      </c>
      <c r="I19" s="15">
        <v>901171132</v>
      </c>
      <c r="J19" s="16" t="s">
        <v>468</v>
      </c>
      <c r="K19" s="17">
        <v>108758</v>
      </c>
      <c r="L19" s="18" t="s">
        <v>21</v>
      </c>
      <c r="M19" s="19">
        <v>424.19</v>
      </c>
      <c r="N19" s="19">
        <v>0</v>
      </c>
      <c r="O19" s="19">
        <f t="shared" si="1"/>
        <v>46134056.020000003</v>
      </c>
      <c r="P19" s="17" t="s">
        <v>31</v>
      </c>
    </row>
    <row r="20" spans="1:16" x14ac:dyDescent="0.3">
      <c r="A20" s="9" t="s">
        <v>472</v>
      </c>
      <c r="B20" s="10" t="s">
        <v>479</v>
      </c>
      <c r="C20" s="11" t="s">
        <v>480</v>
      </c>
      <c r="D20" s="12">
        <v>43964</v>
      </c>
      <c r="E20" s="12">
        <v>43965</v>
      </c>
      <c r="F20" s="13">
        <v>34734750</v>
      </c>
      <c r="G20" s="14">
        <v>0</v>
      </c>
      <c r="H20" s="9" t="s">
        <v>481</v>
      </c>
      <c r="I20" s="15">
        <v>1062185</v>
      </c>
      <c r="J20" s="16" t="s">
        <v>482</v>
      </c>
      <c r="K20" s="17">
        <v>10000</v>
      </c>
      <c r="L20" s="18" t="s">
        <v>21</v>
      </c>
      <c r="M20" s="19">
        <v>1250</v>
      </c>
      <c r="N20" s="19">
        <v>0</v>
      </c>
      <c r="O20" s="19">
        <f t="shared" si="1"/>
        <v>12500000</v>
      </c>
      <c r="P20" s="17" t="s">
        <v>31</v>
      </c>
    </row>
    <row r="21" spans="1:16" x14ac:dyDescent="0.3">
      <c r="A21" s="9" t="s">
        <v>472</v>
      </c>
      <c r="B21" s="10" t="s">
        <v>479</v>
      </c>
      <c r="C21" s="11" t="s">
        <v>480</v>
      </c>
      <c r="D21" s="12">
        <v>43964</v>
      </c>
      <c r="E21" s="12">
        <v>43965</v>
      </c>
      <c r="F21" s="13">
        <v>34734750</v>
      </c>
      <c r="G21" s="14">
        <v>0</v>
      </c>
      <c r="H21" s="9" t="s">
        <v>481</v>
      </c>
      <c r="I21" s="15">
        <v>1062185</v>
      </c>
      <c r="J21" s="16" t="s">
        <v>483</v>
      </c>
      <c r="K21" s="17">
        <v>7550</v>
      </c>
      <c r="L21" s="18" t="s">
        <v>21</v>
      </c>
      <c r="M21" s="19">
        <v>2945</v>
      </c>
      <c r="N21" s="19">
        <v>0</v>
      </c>
      <c r="O21" s="19">
        <f t="shared" si="1"/>
        <v>22234750</v>
      </c>
      <c r="P21" s="17" t="s">
        <v>31</v>
      </c>
    </row>
    <row r="22" spans="1:16" x14ac:dyDescent="0.3">
      <c r="A22" s="9" t="s">
        <v>472</v>
      </c>
      <c r="B22" s="10" t="s">
        <v>499</v>
      </c>
      <c r="C22" s="11" t="s">
        <v>500</v>
      </c>
      <c r="D22" s="12">
        <v>43956</v>
      </c>
      <c r="E22" s="12">
        <v>43956</v>
      </c>
      <c r="F22" s="13">
        <v>52694400</v>
      </c>
      <c r="G22" s="14">
        <v>0</v>
      </c>
      <c r="H22" s="9" t="s">
        <v>501</v>
      </c>
      <c r="I22" s="15">
        <v>900935453</v>
      </c>
      <c r="J22" s="16" t="s">
        <v>49</v>
      </c>
      <c r="K22" s="17">
        <v>10000</v>
      </c>
      <c r="L22" s="18" t="s">
        <v>21</v>
      </c>
      <c r="M22" s="19">
        <v>1300</v>
      </c>
      <c r="N22" s="19">
        <v>0</v>
      </c>
      <c r="O22" s="19">
        <f t="shared" si="1"/>
        <v>13000000</v>
      </c>
      <c r="P22" s="17" t="s">
        <v>31</v>
      </c>
    </row>
    <row r="23" spans="1:16" x14ac:dyDescent="0.3">
      <c r="A23" s="9" t="s">
        <v>472</v>
      </c>
      <c r="B23" s="10" t="s">
        <v>499</v>
      </c>
      <c r="C23" s="11" t="s">
        <v>500</v>
      </c>
      <c r="D23" s="12">
        <v>43956</v>
      </c>
      <c r="E23" s="12">
        <v>43956</v>
      </c>
      <c r="F23" s="13">
        <v>52694400</v>
      </c>
      <c r="G23" s="14">
        <v>0</v>
      </c>
      <c r="H23" s="9" t="s">
        <v>501</v>
      </c>
      <c r="I23" s="15">
        <v>900935453</v>
      </c>
      <c r="J23" s="16" t="s">
        <v>502</v>
      </c>
      <c r="K23" s="17">
        <v>13000</v>
      </c>
      <c r="L23" s="18" t="s">
        <v>21</v>
      </c>
      <c r="M23" s="19">
        <v>2950</v>
      </c>
      <c r="N23" s="19">
        <v>0</v>
      </c>
      <c r="O23" s="19">
        <f t="shared" si="1"/>
        <v>38350000</v>
      </c>
      <c r="P23" s="17" t="s">
        <v>31</v>
      </c>
    </row>
    <row r="24" spans="1:16" x14ac:dyDescent="0.3">
      <c r="A24" s="9" t="s">
        <v>472</v>
      </c>
      <c r="B24" s="10" t="s">
        <v>525</v>
      </c>
      <c r="C24" s="11" t="s">
        <v>526</v>
      </c>
      <c r="D24" s="12">
        <v>43986</v>
      </c>
      <c r="E24" s="12">
        <v>43986</v>
      </c>
      <c r="F24" s="13">
        <v>11123450</v>
      </c>
      <c r="G24" s="14">
        <v>0</v>
      </c>
      <c r="H24" s="9" t="s">
        <v>527</v>
      </c>
      <c r="I24" s="15">
        <v>900342297</v>
      </c>
      <c r="J24" s="16" t="s">
        <v>528</v>
      </c>
      <c r="K24" s="17">
        <v>7000</v>
      </c>
      <c r="L24" s="18" t="s">
        <v>21</v>
      </c>
      <c r="M24" s="19">
        <v>1580</v>
      </c>
      <c r="N24" s="19">
        <v>0</v>
      </c>
      <c r="O24" s="19">
        <f t="shared" si="1"/>
        <v>11060000</v>
      </c>
      <c r="P24" s="17" t="s">
        <v>31</v>
      </c>
    </row>
    <row r="25" spans="1:16" x14ac:dyDescent="0.3">
      <c r="A25" s="9" t="s">
        <v>472</v>
      </c>
      <c r="B25" s="10" t="s">
        <v>550</v>
      </c>
      <c r="C25" s="11" t="s">
        <v>1787</v>
      </c>
      <c r="D25" s="12">
        <v>44089</v>
      </c>
      <c r="E25" s="12">
        <v>44089</v>
      </c>
      <c r="F25" s="13">
        <v>5404600</v>
      </c>
      <c r="G25" s="14">
        <v>0</v>
      </c>
      <c r="H25" s="9" t="s">
        <v>551</v>
      </c>
      <c r="I25" s="15" t="s">
        <v>552</v>
      </c>
      <c r="J25" s="16" t="s">
        <v>553</v>
      </c>
      <c r="K25" s="17">
        <v>5400</v>
      </c>
      <c r="L25" s="18" t="s">
        <v>21</v>
      </c>
      <c r="M25" s="19">
        <v>949</v>
      </c>
      <c r="N25" s="19">
        <v>0</v>
      </c>
      <c r="O25" s="19">
        <f t="shared" si="1"/>
        <v>5124600</v>
      </c>
      <c r="P25" s="17" t="s">
        <v>31</v>
      </c>
    </row>
    <row r="26" spans="1:16" x14ac:dyDescent="0.3">
      <c r="A26" s="9" t="s">
        <v>558</v>
      </c>
      <c r="B26" s="10" t="s">
        <v>559</v>
      </c>
      <c r="C26" s="11" t="s">
        <v>560</v>
      </c>
      <c r="D26" s="12">
        <v>43951</v>
      </c>
      <c r="E26" s="12">
        <v>43920</v>
      </c>
      <c r="F26" s="13">
        <v>27875000</v>
      </c>
      <c r="G26" s="14">
        <v>0</v>
      </c>
      <c r="H26" s="9" t="s">
        <v>561</v>
      </c>
      <c r="I26" s="15">
        <v>152446212</v>
      </c>
      <c r="J26" s="16" t="s">
        <v>562</v>
      </c>
      <c r="K26" s="17">
        <v>12500</v>
      </c>
      <c r="L26" s="18" t="s">
        <v>21</v>
      </c>
      <c r="M26" s="19">
        <v>1750</v>
      </c>
      <c r="N26" s="19">
        <v>0</v>
      </c>
      <c r="O26" s="19">
        <f t="shared" si="1"/>
        <v>21875000</v>
      </c>
      <c r="P26" s="17" t="s">
        <v>31</v>
      </c>
    </row>
    <row r="27" spans="1:16" x14ac:dyDescent="0.3">
      <c r="A27" s="9" t="s">
        <v>558</v>
      </c>
      <c r="B27" s="10" t="s">
        <v>559</v>
      </c>
      <c r="C27" s="11" t="s">
        <v>563</v>
      </c>
      <c r="D27" s="12">
        <v>43951</v>
      </c>
      <c r="E27" s="12">
        <v>43920</v>
      </c>
      <c r="F27" s="13">
        <v>27875000</v>
      </c>
      <c r="G27" s="14">
        <v>0</v>
      </c>
      <c r="H27" s="9" t="s">
        <v>561</v>
      </c>
      <c r="I27" s="15">
        <v>152446212</v>
      </c>
      <c r="J27" s="16" t="s">
        <v>564</v>
      </c>
      <c r="K27" s="17">
        <v>600</v>
      </c>
      <c r="L27" s="18" t="s">
        <v>21</v>
      </c>
      <c r="M27" s="19">
        <v>10000</v>
      </c>
      <c r="N27" s="19">
        <v>0</v>
      </c>
      <c r="O27" s="19">
        <f t="shared" si="1"/>
        <v>6000000</v>
      </c>
      <c r="P27" s="17" t="s">
        <v>31</v>
      </c>
    </row>
    <row r="28" spans="1:16" x14ac:dyDescent="0.3">
      <c r="A28" s="9" t="s">
        <v>558</v>
      </c>
      <c r="B28" s="10" t="s">
        <v>571</v>
      </c>
      <c r="C28" s="11" t="s">
        <v>572</v>
      </c>
      <c r="D28" s="12">
        <v>43945</v>
      </c>
      <c r="E28" s="12">
        <v>43945</v>
      </c>
      <c r="F28" s="13">
        <v>37196160</v>
      </c>
      <c r="G28" s="14">
        <v>0</v>
      </c>
      <c r="H28" s="9" t="s">
        <v>332</v>
      </c>
      <c r="I28" s="15">
        <v>800037946</v>
      </c>
      <c r="J28" s="16" t="s">
        <v>575</v>
      </c>
      <c r="K28" s="17">
        <v>33000</v>
      </c>
      <c r="L28" s="18" t="s">
        <v>21</v>
      </c>
      <c r="M28" s="19">
        <v>541</v>
      </c>
      <c r="N28" s="19">
        <v>0</v>
      </c>
      <c r="O28" s="19">
        <f t="shared" si="1"/>
        <v>17853000</v>
      </c>
      <c r="P28" s="17" t="s">
        <v>31</v>
      </c>
    </row>
    <row r="29" spans="1:16" x14ac:dyDescent="0.3">
      <c r="A29" s="9" t="s">
        <v>558</v>
      </c>
      <c r="B29" s="10" t="s">
        <v>596</v>
      </c>
      <c r="C29" s="11" t="s">
        <v>597</v>
      </c>
      <c r="D29" s="12">
        <v>43969</v>
      </c>
      <c r="E29" s="12">
        <v>43969</v>
      </c>
      <c r="F29" s="13">
        <v>189000000</v>
      </c>
      <c r="G29" s="14">
        <v>0</v>
      </c>
      <c r="H29" s="9" t="s">
        <v>501</v>
      </c>
      <c r="I29" s="15">
        <v>9009354530</v>
      </c>
      <c r="J29" s="16" t="s">
        <v>49</v>
      </c>
      <c r="K29" s="17">
        <v>145000</v>
      </c>
      <c r="L29" s="18" t="s">
        <v>21</v>
      </c>
      <c r="M29" s="19">
        <v>1300</v>
      </c>
      <c r="N29" s="19">
        <v>0</v>
      </c>
      <c r="O29" s="19">
        <f t="shared" si="1"/>
        <v>188500000</v>
      </c>
      <c r="P29" s="17" t="s">
        <v>31</v>
      </c>
    </row>
    <row r="30" spans="1:16" x14ac:dyDescent="0.3">
      <c r="A30" s="9" t="s">
        <v>558</v>
      </c>
      <c r="B30" s="10" t="s">
        <v>601</v>
      </c>
      <c r="C30" s="11" t="s">
        <v>602</v>
      </c>
      <c r="D30" s="12">
        <v>43966</v>
      </c>
      <c r="E30" s="12">
        <v>43966</v>
      </c>
      <c r="F30" s="13">
        <v>5445000</v>
      </c>
      <c r="G30" s="14">
        <v>0</v>
      </c>
      <c r="H30" s="9" t="s">
        <v>603</v>
      </c>
      <c r="I30" s="15">
        <v>807369955</v>
      </c>
      <c r="J30" s="16" t="s">
        <v>49</v>
      </c>
      <c r="K30" s="17">
        <v>5000</v>
      </c>
      <c r="L30" s="18" t="s">
        <v>21</v>
      </c>
      <c r="M30" s="19">
        <v>989</v>
      </c>
      <c r="N30" s="19">
        <v>0</v>
      </c>
      <c r="O30" s="19">
        <f t="shared" si="1"/>
        <v>4945000</v>
      </c>
      <c r="P30" s="17" t="s">
        <v>31</v>
      </c>
    </row>
    <row r="31" spans="1:16" x14ac:dyDescent="0.3">
      <c r="A31" s="9" t="s">
        <v>558</v>
      </c>
      <c r="B31" s="10" t="s">
        <v>2027</v>
      </c>
      <c r="C31" s="28" t="s">
        <v>650</v>
      </c>
      <c r="D31" s="12">
        <v>44168</v>
      </c>
      <c r="E31" s="12">
        <v>44168</v>
      </c>
      <c r="F31" s="13">
        <v>87600000</v>
      </c>
      <c r="G31" s="14">
        <v>0</v>
      </c>
      <c r="H31" s="9" t="s">
        <v>651</v>
      </c>
      <c r="I31" s="15">
        <v>900017447</v>
      </c>
      <c r="J31" t="s">
        <v>652</v>
      </c>
      <c r="K31" s="17">
        <v>120000</v>
      </c>
      <c r="L31" s="18" t="s">
        <v>21</v>
      </c>
      <c r="M31" s="19">
        <v>729.99360000000001</v>
      </c>
      <c r="N31" s="19">
        <v>0</v>
      </c>
      <c r="O31" s="19">
        <f t="shared" si="1"/>
        <v>87599232</v>
      </c>
      <c r="P31" s="17" t="s">
        <v>31</v>
      </c>
    </row>
    <row r="32" spans="1:16" x14ac:dyDescent="0.3">
      <c r="A32" s="9" t="s">
        <v>657</v>
      </c>
      <c r="B32" s="10" t="s">
        <v>662</v>
      </c>
      <c r="C32" s="11" t="s">
        <v>663</v>
      </c>
      <c r="D32" s="12">
        <v>43963</v>
      </c>
      <c r="E32" s="12">
        <v>43963</v>
      </c>
      <c r="F32" s="13">
        <v>166018725</v>
      </c>
      <c r="G32" s="14">
        <v>0</v>
      </c>
      <c r="H32" s="9" t="s">
        <v>660</v>
      </c>
      <c r="I32" s="15">
        <v>813005241</v>
      </c>
      <c r="J32" s="16" t="s">
        <v>664</v>
      </c>
      <c r="K32" s="17">
        <v>26000</v>
      </c>
      <c r="L32" s="18" t="s">
        <v>21</v>
      </c>
      <c r="M32" s="19">
        <v>1100</v>
      </c>
      <c r="N32" s="19">
        <v>0</v>
      </c>
      <c r="O32" s="19">
        <f t="shared" si="1"/>
        <v>28600000</v>
      </c>
      <c r="P32" s="17" t="s">
        <v>31</v>
      </c>
    </row>
    <row r="33" spans="1:16" x14ac:dyDescent="0.3">
      <c r="A33" s="9" t="s">
        <v>657</v>
      </c>
      <c r="B33" s="10" t="s">
        <v>670</v>
      </c>
      <c r="C33" s="11" t="s">
        <v>671</v>
      </c>
      <c r="D33" s="12">
        <v>44015</v>
      </c>
      <c r="E33" s="12">
        <v>44018</v>
      </c>
      <c r="F33" s="13">
        <v>201000100</v>
      </c>
      <c r="G33" s="14">
        <v>0</v>
      </c>
      <c r="H33" s="9" t="s">
        <v>660</v>
      </c>
      <c r="I33" s="15">
        <v>813005241</v>
      </c>
      <c r="J33" s="16" t="s">
        <v>31</v>
      </c>
      <c r="K33" s="17">
        <v>75000</v>
      </c>
      <c r="L33" s="18" t="s">
        <v>21</v>
      </c>
      <c r="M33" s="19">
        <v>1320</v>
      </c>
      <c r="N33" s="19">
        <v>0</v>
      </c>
      <c r="O33" s="19">
        <f t="shared" si="1"/>
        <v>99000000</v>
      </c>
      <c r="P33" s="17" t="s">
        <v>31</v>
      </c>
    </row>
    <row r="34" spans="1:16" x14ac:dyDescent="0.3">
      <c r="A34" s="9" t="s">
        <v>657</v>
      </c>
      <c r="B34" s="10" t="s">
        <v>2029</v>
      </c>
      <c r="C34" s="11" t="s">
        <v>1797</v>
      </c>
      <c r="D34" s="12">
        <v>44161</v>
      </c>
      <c r="E34" s="12">
        <v>44161</v>
      </c>
      <c r="F34" s="13">
        <v>29330000</v>
      </c>
      <c r="G34" s="14">
        <v>0</v>
      </c>
      <c r="H34" s="9" t="s">
        <v>686</v>
      </c>
      <c r="I34" s="15">
        <v>900454322</v>
      </c>
      <c r="J34" s="16" t="s">
        <v>664</v>
      </c>
      <c r="K34" s="17">
        <v>3000</v>
      </c>
      <c r="L34" s="18" t="s">
        <v>21</v>
      </c>
      <c r="M34" s="19">
        <v>9500</v>
      </c>
      <c r="N34" s="19">
        <v>0</v>
      </c>
      <c r="O34" s="19">
        <f t="shared" si="1"/>
        <v>28500000</v>
      </c>
      <c r="P34" s="17" t="s">
        <v>31</v>
      </c>
    </row>
    <row r="35" spans="1:16" x14ac:dyDescent="0.3">
      <c r="A35" s="9" t="s">
        <v>690</v>
      </c>
      <c r="B35" s="10" t="s">
        <v>695</v>
      </c>
      <c r="C35" s="11" t="s">
        <v>696</v>
      </c>
      <c r="D35" s="12">
        <v>43910</v>
      </c>
      <c r="E35" s="12">
        <v>43910</v>
      </c>
      <c r="F35" s="13">
        <v>9496200</v>
      </c>
      <c r="G35" s="14">
        <v>0</v>
      </c>
      <c r="H35" s="9" t="s">
        <v>697</v>
      </c>
      <c r="I35" s="15">
        <v>890806147</v>
      </c>
      <c r="J35" s="16" t="s">
        <v>700</v>
      </c>
      <c r="K35" s="17">
        <v>7150</v>
      </c>
      <c r="L35" s="18" t="s">
        <v>21</v>
      </c>
      <c r="M35" s="19">
        <v>600</v>
      </c>
      <c r="N35" s="19">
        <f t="shared" ref="N35:N37" si="2">M35*0.19</f>
        <v>114</v>
      </c>
      <c r="O35" s="19">
        <f t="shared" si="1"/>
        <v>5105100</v>
      </c>
      <c r="P35" s="17" t="s">
        <v>31</v>
      </c>
    </row>
    <row r="36" spans="1:16" x14ac:dyDescent="0.3">
      <c r="A36" s="9" t="s">
        <v>690</v>
      </c>
      <c r="B36" s="10" t="s">
        <v>695</v>
      </c>
      <c r="C36" s="11" t="s">
        <v>696</v>
      </c>
      <c r="D36" s="12">
        <v>43910</v>
      </c>
      <c r="E36" s="12">
        <v>43910</v>
      </c>
      <c r="F36" s="13">
        <v>9496200</v>
      </c>
      <c r="G36" s="14">
        <v>0</v>
      </c>
      <c r="H36" s="9" t="s">
        <v>697</v>
      </c>
      <c r="I36" s="15">
        <v>890806147</v>
      </c>
      <c r="J36" s="16" t="s">
        <v>701</v>
      </c>
      <c r="K36" s="17">
        <v>30</v>
      </c>
      <c r="L36" s="18" t="s">
        <v>21</v>
      </c>
      <c r="M36" s="19">
        <v>25000</v>
      </c>
      <c r="N36" s="19">
        <f t="shared" si="2"/>
        <v>4750</v>
      </c>
      <c r="O36" s="19">
        <f t="shared" si="1"/>
        <v>892500</v>
      </c>
      <c r="P36" s="17" t="s">
        <v>31</v>
      </c>
    </row>
    <row r="37" spans="1:16" x14ac:dyDescent="0.3">
      <c r="A37" s="9" t="s">
        <v>690</v>
      </c>
      <c r="B37" s="10" t="s">
        <v>708</v>
      </c>
      <c r="C37" s="11" t="s">
        <v>709</v>
      </c>
      <c r="D37" s="12">
        <v>43929</v>
      </c>
      <c r="E37" s="12">
        <v>43929</v>
      </c>
      <c r="F37" s="13">
        <v>6799660</v>
      </c>
      <c r="G37" s="14">
        <v>0</v>
      </c>
      <c r="H37" s="9" t="s">
        <v>710</v>
      </c>
      <c r="I37" s="15">
        <v>810001350</v>
      </c>
      <c r="J37" s="16" t="s">
        <v>711</v>
      </c>
      <c r="K37" s="17">
        <v>2000</v>
      </c>
      <c r="L37" s="18" t="s">
        <v>21</v>
      </c>
      <c r="M37" s="19">
        <v>2857</v>
      </c>
      <c r="N37" s="19">
        <f t="shared" si="2"/>
        <v>542.83000000000004</v>
      </c>
      <c r="O37" s="19">
        <f t="shared" si="1"/>
        <v>6799660</v>
      </c>
      <c r="P37" s="17" t="s">
        <v>31</v>
      </c>
    </row>
    <row r="38" spans="1:16" x14ac:dyDescent="0.3">
      <c r="A38" s="9" t="s">
        <v>690</v>
      </c>
      <c r="B38" s="10" t="s">
        <v>774</v>
      </c>
      <c r="C38" s="11" t="s">
        <v>775</v>
      </c>
      <c r="D38" s="12">
        <v>44020</v>
      </c>
      <c r="E38" s="12">
        <v>44021</v>
      </c>
      <c r="F38" s="13">
        <v>4425000</v>
      </c>
      <c r="G38" s="14">
        <v>1500000</v>
      </c>
      <c r="H38" s="9" t="s">
        <v>776</v>
      </c>
      <c r="I38" s="15">
        <v>900829708</v>
      </c>
      <c r="J38" s="16" t="s">
        <v>49</v>
      </c>
      <c r="K38" s="17">
        <v>2059</v>
      </c>
      <c r="L38" s="18" t="s">
        <v>21</v>
      </c>
      <c r="M38" s="19">
        <v>750</v>
      </c>
      <c r="N38" s="19">
        <v>0</v>
      </c>
      <c r="O38" s="19">
        <f t="shared" si="1"/>
        <v>1544250</v>
      </c>
      <c r="P38" s="17" t="s">
        <v>31</v>
      </c>
    </row>
    <row r="39" spans="1:16" x14ac:dyDescent="0.3">
      <c r="A39" s="33" t="s">
        <v>690</v>
      </c>
      <c r="B39" s="33" t="s">
        <v>800</v>
      </c>
      <c r="C39" s="33" t="s">
        <v>1809</v>
      </c>
      <c r="D39" s="34">
        <v>44174</v>
      </c>
      <c r="E39" s="34">
        <v>44174</v>
      </c>
      <c r="F39" s="35">
        <v>6514480</v>
      </c>
      <c r="G39" s="14">
        <v>0</v>
      </c>
      <c r="H39" s="33" t="s">
        <v>801</v>
      </c>
      <c r="I39" s="36">
        <v>901194503</v>
      </c>
      <c r="J39" s="33" t="s">
        <v>1809</v>
      </c>
      <c r="K39" s="17">
        <v>28000</v>
      </c>
      <c r="L39" s="18" t="s">
        <v>21</v>
      </c>
      <c r="M39" s="19">
        <v>232.66</v>
      </c>
      <c r="N39" s="19">
        <v>0</v>
      </c>
      <c r="O39" s="19">
        <f t="shared" si="1"/>
        <v>6514480</v>
      </c>
      <c r="P39" s="17" t="s">
        <v>31</v>
      </c>
    </row>
    <row r="40" spans="1:16" x14ac:dyDescent="0.3">
      <c r="A40" s="9" t="s">
        <v>809</v>
      </c>
      <c r="B40" s="10" t="s">
        <v>844</v>
      </c>
      <c r="C40" s="11" t="s">
        <v>845</v>
      </c>
      <c r="D40" s="12">
        <v>43920</v>
      </c>
      <c r="E40" s="12">
        <v>43920</v>
      </c>
      <c r="F40" s="13">
        <v>26983488</v>
      </c>
      <c r="G40" s="14">
        <v>0</v>
      </c>
      <c r="H40" s="9" t="s">
        <v>846</v>
      </c>
      <c r="I40" s="15">
        <v>900727931</v>
      </c>
      <c r="J40" s="16" t="s">
        <v>847</v>
      </c>
      <c r="K40" s="17">
        <v>10000</v>
      </c>
      <c r="L40" s="18" t="s">
        <v>21</v>
      </c>
      <c r="M40" s="19">
        <v>1850</v>
      </c>
      <c r="N40" s="19">
        <f t="shared" ref="N40" si="3">M40*0.19</f>
        <v>351.5</v>
      </c>
      <c r="O40" s="19">
        <f t="shared" si="1"/>
        <v>22015000</v>
      </c>
      <c r="P40" s="17" t="s">
        <v>31</v>
      </c>
    </row>
    <row r="41" spans="1:16" x14ac:dyDescent="0.3">
      <c r="A41" s="9" t="s">
        <v>809</v>
      </c>
      <c r="B41" s="10" t="s">
        <v>849</v>
      </c>
      <c r="C41" s="11" t="s">
        <v>845</v>
      </c>
      <c r="D41" s="12">
        <v>43950</v>
      </c>
      <c r="E41" s="12">
        <v>43950</v>
      </c>
      <c r="F41" s="13">
        <v>51899000</v>
      </c>
      <c r="G41" s="14">
        <v>0</v>
      </c>
      <c r="H41" s="9" t="s">
        <v>846</v>
      </c>
      <c r="I41" s="15">
        <v>900727931</v>
      </c>
      <c r="J41" s="16" t="s">
        <v>850</v>
      </c>
      <c r="K41" s="17">
        <v>34151</v>
      </c>
      <c r="L41" s="18" t="s">
        <v>21</v>
      </c>
      <c r="M41" s="19">
        <v>1000</v>
      </c>
      <c r="N41" s="19">
        <v>0</v>
      </c>
      <c r="O41" s="19">
        <f t="shared" si="1"/>
        <v>34151000</v>
      </c>
      <c r="P41" s="17" t="s">
        <v>31</v>
      </c>
    </row>
    <row r="42" spans="1:16" x14ac:dyDescent="0.3">
      <c r="A42" s="9" t="s">
        <v>809</v>
      </c>
      <c r="B42" s="10" t="s">
        <v>849</v>
      </c>
      <c r="C42" s="11" t="s">
        <v>845</v>
      </c>
      <c r="D42" s="12">
        <v>43950</v>
      </c>
      <c r="E42" s="12">
        <v>43956</v>
      </c>
      <c r="F42" s="13">
        <v>0</v>
      </c>
      <c r="G42" s="14">
        <v>150000000</v>
      </c>
      <c r="H42" s="9" t="s">
        <v>846</v>
      </c>
      <c r="I42" s="15">
        <v>900727931</v>
      </c>
      <c r="J42" s="16" t="s">
        <v>855</v>
      </c>
      <c r="K42" s="17">
        <v>150000</v>
      </c>
      <c r="L42" s="18" t="s">
        <v>21</v>
      </c>
      <c r="M42" s="19">
        <v>1000</v>
      </c>
      <c r="N42" s="19">
        <v>0</v>
      </c>
      <c r="O42" s="19">
        <f t="shared" si="1"/>
        <v>150000000</v>
      </c>
      <c r="P42" s="17" t="s">
        <v>31</v>
      </c>
    </row>
    <row r="43" spans="1:16" x14ac:dyDescent="0.3">
      <c r="A43" s="9" t="s">
        <v>861</v>
      </c>
      <c r="B43" s="10" t="s">
        <v>862</v>
      </c>
      <c r="C43" s="11" t="s">
        <v>863</v>
      </c>
      <c r="D43" s="12" t="s">
        <v>864</v>
      </c>
      <c r="E43" s="12" t="s">
        <v>864</v>
      </c>
      <c r="F43" s="13">
        <v>21078782</v>
      </c>
      <c r="G43" s="14">
        <v>0</v>
      </c>
      <c r="H43" s="9" t="s">
        <v>865</v>
      </c>
      <c r="I43" s="15">
        <v>900406714</v>
      </c>
      <c r="J43" s="16" t="s">
        <v>870</v>
      </c>
      <c r="K43" s="17">
        <v>1500</v>
      </c>
      <c r="L43" s="18" t="s">
        <v>21</v>
      </c>
      <c r="M43" s="19">
        <v>582.3528</v>
      </c>
      <c r="N43" s="19">
        <f t="shared" ref="N43:N44" si="4">M43*0.19</f>
        <v>110.647032</v>
      </c>
      <c r="O43" s="19">
        <f t="shared" si="1"/>
        <v>1039499.7479999999</v>
      </c>
      <c r="P43" s="17" t="s">
        <v>31</v>
      </c>
    </row>
    <row r="44" spans="1:16" x14ac:dyDescent="0.3">
      <c r="A44" s="9" t="s">
        <v>861</v>
      </c>
      <c r="B44" s="10" t="s">
        <v>893</v>
      </c>
      <c r="C44" s="11" t="s">
        <v>884</v>
      </c>
      <c r="D44" s="12" t="s">
        <v>885</v>
      </c>
      <c r="E44" s="12" t="s">
        <v>885</v>
      </c>
      <c r="F44" s="13">
        <v>6426000</v>
      </c>
      <c r="G44" s="14">
        <v>0</v>
      </c>
      <c r="H44" s="9" t="s">
        <v>894</v>
      </c>
      <c r="I44" s="15">
        <v>901212927</v>
      </c>
      <c r="J44" s="16" t="s">
        <v>895</v>
      </c>
      <c r="K44" s="17">
        <v>3000</v>
      </c>
      <c r="L44" s="18" t="s">
        <v>21</v>
      </c>
      <c r="M44" s="19">
        <v>1800</v>
      </c>
      <c r="N44" s="19">
        <f t="shared" si="4"/>
        <v>342</v>
      </c>
      <c r="O44" s="19">
        <f t="shared" si="1"/>
        <v>6426000</v>
      </c>
      <c r="P44" s="17" t="s">
        <v>31</v>
      </c>
    </row>
    <row r="45" spans="1:16" x14ac:dyDescent="0.3">
      <c r="A45" s="9" t="s">
        <v>861</v>
      </c>
      <c r="B45" s="10" t="s">
        <v>921</v>
      </c>
      <c r="C45" s="11" t="s">
        <v>922</v>
      </c>
      <c r="D45" s="12">
        <v>43987</v>
      </c>
      <c r="E45" s="12">
        <v>43987</v>
      </c>
      <c r="F45" s="13">
        <v>131250000</v>
      </c>
      <c r="G45" s="14">
        <v>0</v>
      </c>
      <c r="H45" s="9" t="s">
        <v>923</v>
      </c>
      <c r="I45" s="15">
        <v>901220553</v>
      </c>
      <c r="J45" s="16" t="s">
        <v>924</v>
      </c>
      <c r="K45" s="17">
        <v>72000</v>
      </c>
      <c r="L45" s="18" t="s">
        <v>21</v>
      </c>
      <c r="M45" s="19">
        <v>1150</v>
      </c>
      <c r="N45" s="19">
        <v>0</v>
      </c>
      <c r="O45" s="19">
        <f t="shared" si="1"/>
        <v>82800000</v>
      </c>
      <c r="P45" s="17" t="s">
        <v>31</v>
      </c>
    </row>
    <row r="46" spans="1:16" x14ac:dyDescent="0.3">
      <c r="A46" s="9" t="s">
        <v>861</v>
      </c>
      <c r="B46" s="10" t="s">
        <v>954</v>
      </c>
      <c r="C46" s="11" t="s">
        <v>955</v>
      </c>
      <c r="D46" s="12">
        <v>44084</v>
      </c>
      <c r="E46" s="12">
        <v>44089</v>
      </c>
      <c r="F46" s="13">
        <v>5430000</v>
      </c>
      <c r="G46" s="14">
        <v>5430000</v>
      </c>
      <c r="H46" s="9" t="s">
        <v>956</v>
      </c>
      <c r="I46" s="15" t="s">
        <v>953</v>
      </c>
      <c r="J46" s="16" t="s">
        <v>49</v>
      </c>
      <c r="K46" s="17">
        <v>300</v>
      </c>
      <c r="L46" s="18" t="s">
        <v>21</v>
      </c>
      <c r="M46" s="19">
        <v>14900</v>
      </c>
      <c r="N46" s="19">
        <v>0</v>
      </c>
      <c r="O46" s="19">
        <f t="shared" si="1"/>
        <v>4470000</v>
      </c>
      <c r="P46" s="17" t="s">
        <v>31</v>
      </c>
    </row>
    <row r="47" spans="1:16" x14ac:dyDescent="0.3">
      <c r="A47" s="9" t="s">
        <v>861</v>
      </c>
      <c r="B47" s="10" t="s">
        <v>994</v>
      </c>
      <c r="C47" s="11" t="s">
        <v>955</v>
      </c>
      <c r="D47" s="12">
        <v>44169</v>
      </c>
      <c r="E47" s="12">
        <v>44175</v>
      </c>
      <c r="F47" s="13">
        <v>9790000</v>
      </c>
      <c r="G47" s="14">
        <v>0</v>
      </c>
      <c r="H47" s="9" t="s">
        <v>995</v>
      </c>
      <c r="I47" s="15" t="s">
        <v>996</v>
      </c>
      <c r="J47" s="16" t="s">
        <v>49</v>
      </c>
      <c r="K47" s="17">
        <v>1000</v>
      </c>
      <c r="L47" s="18" t="s">
        <v>21</v>
      </c>
      <c r="M47" s="19">
        <v>8990</v>
      </c>
      <c r="N47" s="19">
        <v>0</v>
      </c>
      <c r="O47" s="19">
        <f t="shared" si="1"/>
        <v>8990000</v>
      </c>
      <c r="P47" s="17" t="s">
        <v>31</v>
      </c>
    </row>
    <row r="48" spans="1:16" x14ac:dyDescent="0.3">
      <c r="A48" s="9" t="s">
        <v>1006</v>
      </c>
      <c r="B48" s="10" t="s">
        <v>1013</v>
      </c>
      <c r="C48" s="11" t="s">
        <v>1008</v>
      </c>
      <c r="D48" s="12">
        <v>43910</v>
      </c>
      <c r="E48" s="12">
        <v>43915</v>
      </c>
      <c r="F48" s="13">
        <v>15600000</v>
      </c>
      <c r="G48" s="14">
        <v>0</v>
      </c>
      <c r="H48" s="9" t="s">
        <v>1014</v>
      </c>
      <c r="I48" s="15">
        <v>900920737</v>
      </c>
      <c r="J48" s="16" t="s">
        <v>1015</v>
      </c>
      <c r="K48" s="17">
        <v>6240</v>
      </c>
      <c r="L48" s="18" t="s">
        <v>21</v>
      </c>
      <c r="M48" s="19">
        <v>2500</v>
      </c>
      <c r="N48" s="19">
        <v>0</v>
      </c>
      <c r="O48" s="19">
        <f t="shared" si="1"/>
        <v>15600000</v>
      </c>
      <c r="P48" s="17" t="s">
        <v>31</v>
      </c>
    </row>
    <row r="49" spans="1:16" x14ac:dyDescent="0.3">
      <c r="A49" s="9" t="s">
        <v>1006</v>
      </c>
      <c r="B49" s="10" t="s">
        <v>1028</v>
      </c>
      <c r="C49" s="11" t="s">
        <v>1029</v>
      </c>
      <c r="D49" s="12">
        <v>43978</v>
      </c>
      <c r="E49" s="12">
        <v>43985</v>
      </c>
      <c r="F49" s="13">
        <v>87780000</v>
      </c>
      <c r="G49" s="14">
        <v>0</v>
      </c>
      <c r="H49" s="9" t="s">
        <v>1030</v>
      </c>
      <c r="I49" s="15">
        <v>900490455</v>
      </c>
      <c r="J49" s="16" t="s">
        <v>1892</v>
      </c>
      <c r="K49" s="17">
        <v>26692</v>
      </c>
      <c r="L49" s="18" t="s">
        <v>21</v>
      </c>
      <c r="M49" s="19">
        <v>2500</v>
      </c>
      <c r="N49" s="19">
        <v>0</v>
      </c>
      <c r="O49" s="19">
        <f t="shared" si="1"/>
        <v>66730000</v>
      </c>
      <c r="P49" s="17" t="s">
        <v>31</v>
      </c>
    </row>
    <row r="50" spans="1:16" x14ac:dyDescent="0.3">
      <c r="A50" s="9" t="s">
        <v>1006</v>
      </c>
      <c r="B50" s="10" t="s">
        <v>1031</v>
      </c>
      <c r="C50" s="11" t="s">
        <v>1029</v>
      </c>
      <c r="D50" s="12">
        <v>43979</v>
      </c>
      <c r="E50" s="12">
        <v>43985</v>
      </c>
      <c r="F50" s="13">
        <v>87642600</v>
      </c>
      <c r="G50" s="14">
        <v>0</v>
      </c>
      <c r="H50" s="9" t="s">
        <v>1027</v>
      </c>
      <c r="I50" s="15">
        <v>900347045</v>
      </c>
      <c r="J50" s="16" t="s">
        <v>1897</v>
      </c>
      <c r="K50" s="17">
        <v>46400</v>
      </c>
      <c r="L50" s="18" t="s">
        <v>21</v>
      </c>
      <c r="M50" s="19">
        <v>1470</v>
      </c>
      <c r="N50" s="19">
        <v>0</v>
      </c>
      <c r="O50" s="19">
        <f t="shared" si="1"/>
        <v>68208000</v>
      </c>
      <c r="P50" s="17" t="s">
        <v>31</v>
      </c>
    </row>
    <row r="51" spans="1:16" x14ac:dyDescent="0.3">
      <c r="A51" s="9" t="s">
        <v>1006</v>
      </c>
      <c r="B51" s="10" t="s">
        <v>1974</v>
      </c>
      <c r="C51" s="11" t="s">
        <v>1029</v>
      </c>
      <c r="D51" s="12">
        <v>44181</v>
      </c>
      <c r="E51" s="12">
        <v>44181</v>
      </c>
      <c r="F51" s="13">
        <v>7184000</v>
      </c>
      <c r="G51" s="14">
        <v>0</v>
      </c>
      <c r="H51" s="9" t="s">
        <v>401</v>
      </c>
      <c r="I51" s="15">
        <v>901211678</v>
      </c>
      <c r="J51" s="16" t="s">
        <v>1975</v>
      </c>
      <c r="K51" s="17">
        <v>8000</v>
      </c>
      <c r="L51" s="18" t="s">
        <v>21</v>
      </c>
      <c r="M51" s="19">
        <v>898</v>
      </c>
      <c r="N51" s="19">
        <v>0</v>
      </c>
      <c r="O51" s="19">
        <f t="shared" si="1"/>
        <v>7184000</v>
      </c>
      <c r="P51" s="17" t="s">
        <v>31</v>
      </c>
    </row>
    <row r="52" spans="1:16" x14ac:dyDescent="0.3">
      <c r="A52" s="9" t="s">
        <v>1050</v>
      </c>
      <c r="B52" s="10" t="s">
        <v>1051</v>
      </c>
      <c r="C52" s="11" t="s">
        <v>1052</v>
      </c>
      <c r="D52" s="12">
        <v>43944</v>
      </c>
      <c r="E52" s="12">
        <v>43944</v>
      </c>
      <c r="F52" s="13">
        <v>19975000</v>
      </c>
      <c r="G52" s="14">
        <v>0</v>
      </c>
      <c r="H52" s="9" t="s">
        <v>1053</v>
      </c>
      <c r="I52" s="15">
        <v>830137645</v>
      </c>
      <c r="J52" s="16" t="s">
        <v>115</v>
      </c>
      <c r="K52" s="17">
        <v>25000</v>
      </c>
      <c r="L52" s="18" t="s">
        <v>21</v>
      </c>
      <c r="M52" s="19">
        <v>799</v>
      </c>
      <c r="N52" s="19">
        <v>0</v>
      </c>
      <c r="O52" s="19">
        <f t="shared" si="1"/>
        <v>19975000</v>
      </c>
      <c r="P52" s="17" t="s">
        <v>31</v>
      </c>
    </row>
    <row r="53" spans="1:16" x14ac:dyDescent="0.3">
      <c r="A53" s="9" t="s">
        <v>1050</v>
      </c>
      <c r="B53" s="10" t="s">
        <v>1085</v>
      </c>
      <c r="C53" s="11" t="s">
        <v>1086</v>
      </c>
      <c r="D53" s="12">
        <v>44001</v>
      </c>
      <c r="E53" s="12">
        <v>44001</v>
      </c>
      <c r="F53" s="13">
        <v>84864000</v>
      </c>
      <c r="G53" s="14">
        <v>0</v>
      </c>
      <c r="H53" s="9" t="s">
        <v>1087</v>
      </c>
      <c r="I53" s="15">
        <v>900401081</v>
      </c>
      <c r="J53" s="16" t="s">
        <v>1088</v>
      </c>
      <c r="K53" s="17">
        <v>81600</v>
      </c>
      <c r="L53" s="18" t="s">
        <v>21</v>
      </c>
      <c r="M53" s="19">
        <v>1040</v>
      </c>
      <c r="N53" s="19">
        <v>0</v>
      </c>
      <c r="O53" s="19">
        <f t="shared" si="1"/>
        <v>84864000</v>
      </c>
      <c r="P53" s="17" t="s">
        <v>31</v>
      </c>
    </row>
    <row r="54" spans="1:16" x14ac:dyDescent="0.3">
      <c r="A54" s="9" t="s">
        <v>1091</v>
      </c>
      <c r="B54" s="10" t="s">
        <v>2047</v>
      </c>
      <c r="C54" s="11" t="s">
        <v>1092</v>
      </c>
      <c r="D54" s="12">
        <v>43922</v>
      </c>
      <c r="E54" s="12">
        <v>43923</v>
      </c>
      <c r="F54" s="13">
        <v>36816642</v>
      </c>
      <c r="G54" s="14">
        <v>0</v>
      </c>
      <c r="H54" s="9" t="s">
        <v>1093</v>
      </c>
      <c r="I54" s="15">
        <v>860054854</v>
      </c>
      <c r="J54" s="16" t="s">
        <v>1095</v>
      </c>
      <c r="K54" s="17">
        <v>1000</v>
      </c>
      <c r="L54" s="18" t="s">
        <v>21</v>
      </c>
      <c r="M54" s="19">
        <v>6676</v>
      </c>
      <c r="N54" s="19">
        <v>0</v>
      </c>
      <c r="O54" s="19">
        <f t="shared" si="1"/>
        <v>6676000</v>
      </c>
      <c r="P54" s="17" t="s">
        <v>31</v>
      </c>
    </row>
    <row r="55" spans="1:16" x14ac:dyDescent="0.3">
      <c r="A55" s="9" t="s">
        <v>1091</v>
      </c>
      <c r="B55" s="10" t="s">
        <v>2049</v>
      </c>
      <c r="C55" s="11" t="s">
        <v>1105</v>
      </c>
      <c r="D55" s="12">
        <v>43957</v>
      </c>
      <c r="E55" s="12">
        <v>43959</v>
      </c>
      <c r="F55" s="13">
        <v>24999480</v>
      </c>
      <c r="G55" s="14">
        <v>0</v>
      </c>
      <c r="H55" s="9" t="s">
        <v>1106</v>
      </c>
      <c r="I55" s="15">
        <v>813005241</v>
      </c>
      <c r="J55" s="16" t="s">
        <v>1107</v>
      </c>
      <c r="K55" s="17">
        <v>18939</v>
      </c>
      <c r="L55" s="18" t="s">
        <v>21</v>
      </c>
      <c r="M55" s="19">
        <v>1320</v>
      </c>
      <c r="N55" s="19">
        <v>0</v>
      </c>
      <c r="O55" s="19">
        <f t="shared" si="1"/>
        <v>24999480</v>
      </c>
      <c r="P55" s="17" t="s">
        <v>31</v>
      </c>
    </row>
    <row r="56" spans="1:16" x14ac:dyDescent="0.3">
      <c r="A56" s="9" t="s">
        <v>1091</v>
      </c>
      <c r="B56" s="10" t="s">
        <v>1255</v>
      </c>
      <c r="C56" s="11" t="s">
        <v>1256</v>
      </c>
      <c r="D56" s="12">
        <v>44099</v>
      </c>
      <c r="E56" s="12">
        <v>44099</v>
      </c>
      <c r="F56" s="13">
        <v>19545729</v>
      </c>
      <c r="G56" s="14">
        <v>0</v>
      </c>
      <c r="H56" s="9" t="s">
        <v>1257</v>
      </c>
      <c r="I56" s="15">
        <v>900330957</v>
      </c>
      <c r="J56" s="16" t="s">
        <v>49</v>
      </c>
      <c r="K56" s="17">
        <v>136000</v>
      </c>
      <c r="L56" s="18" t="s">
        <v>21</v>
      </c>
      <c r="M56" s="19">
        <v>143.71860000000001</v>
      </c>
      <c r="N56" s="19">
        <v>0</v>
      </c>
      <c r="O56" s="19">
        <f t="shared" si="1"/>
        <v>19545729.600000001</v>
      </c>
      <c r="P56" s="17" t="s">
        <v>31</v>
      </c>
    </row>
    <row r="57" spans="1:16" x14ac:dyDescent="0.3">
      <c r="A57" s="9" t="s">
        <v>1091</v>
      </c>
      <c r="B57" s="10" t="s">
        <v>1255</v>
      </c>
      <c r="C57" s="11" t="s">
        <v>1256</v>
      </c>
      <c r="D57" s="12">
        <v>44099</v>
      </c>
      <c r="E57" s="12">
        <v>44099</v>
      </c>
      <c r="F57" s="13"/>
      <c r="G57" s="14">
        <v>1437186</v>
      </c>
      <c r="H57" s="9" t="s">
        <v>1257</v>
      </c>
      <c r="I57" s="15">
        <v>900330957</v>
      </c>
      <c r="J57" s="16" t="s">
        <v>49</v>
      </c>
      <c r="K57" s="17">
        <v>10000</v>
      </c>
      <c r="L57" s="18" t="s">
        <v>21</v>
      </c>
      <c r="M57" s="19">
        <v>143.71860000000001</v>
      </c>
      <c r="N57" s="19">
        <v>0</v>
      </c>
      <c r="O57" s="19">
        <f t="shared" si="1"/>
        <v>1437186</v>
      </c>
      <c r="P57" s="17" t="s">
        <v>31</v>
      </c>
    </row>
    <row r="58" spans="1:16" x14ac:dyDescent="0.3">
      <c r="A58" s="9" t="s">
        <v>1091</v>
      </c>
      <c r="B58" s="10" t="s">
        <v>1266</v>
      </c>
      <c r="C58" s="11" t="s">
        <v>1267</v>
      </c>
      <c r="D58" s="12">
        <v>44166</v>
      </c>
      <c r="E58" s="12">
        <v>44166</v>
      </c>
      <c r="F58" s="13">
        <v>17491460</v>
      </c>
      <c r="G58" s="14">
        <v>0</v>
      </c>
      <c r="H58" s="9" t="s">
        <v>686</v>
      </c>
      <c r="I58" s="15">
        <v>900454322</v>
      </c>
      <c r="J58" s="16" t="s">
        <v>49</v>
      </c>
      <c r="K58" s="17">
        <v>1832</v>
      </c>
      <c r="L58" s="18" t="s">
        <v>21</v>
      </c>
      <c r="M58" s="19">
        <v>9547.74</v>
      </c>
      <c r="N58" s="19">
        <v>0</v>
      </c>
      <c r="O58" s="19">
        <f t="shared" si="1"/>
        <v>17491459.68</v>
      </c>
      <c r="P58" s="17" t="s">
        <v>31</v>
      </c>
    </row>
    <row r="59" spans="1:16" x14ac:dyDescent="0.3">
      <c r="A59" s="9" t="s">
        <v>1291</v>
      </c>
      <c r="B59" s="10" t="s">
        <v>1292</v>
      </c>
      <c r="C59" s="11" t="s">
        <v>1293</v>
      </c>
      <c r="D59" s="12">
        <v>43915</v>
      </c>
      <c r="E59" s="12">
        <v>43916</v>
      </c>
      <c r="F59" s="13">
        <v>79231499</v>
      </c>
      <c r="G59" s="14">
        <v>0</v>
      </c>
      <c r="H59" s="9" t="s">
        <v>1294</v>
      </c>
      <c r="I59" s="15">
        <v>900916649</v>
      </c>
      <c r="J59" s="16" t="s">
        <v>575</v>
      </c>
      <c r="K59" s="17">
        <v>15000</v>
      </c>
      <c r="L59" s="18" t="s">
        <v>21</v>
      </c>
      <c r="M59" s="19">
        <v>1600</v>
      </c>
      <c r="N59" s="19">
        <v>0</v>
      </c>
      <c r="O59" s="19">
        <f t="shared" si="1"/>
        <v>24000000</v>
      </c>
      <c r="P59" s="17" t="s">
        <v>31</v>
      </c>
    </row>
    <row r="60" spans="1:16" x14ac:dyDescent="0.3">
      <c r="A60" s="9" t="s">
        <v>1291</v>
      </c>
      <c r="B60" s="10" t="s">
        <v>1292</v>
      </c>
      <c r="C60" s="11" t="s">
        <v>1293</v>
      </c>
      <c r="D60" s="12">
        <v>43915</v>
      </c>
      <c r="E60" s="12">
        <v>43916</v>
      </c>
      <c r="F60" s="13">
        <v>79231499</v>
      </c>
      <c r="G60" s="14">
        <v>0</v>
      </c>
      <c r="H60" s="9" t="s">
        <v>1294</v>
      </c>
      <c r="I60" s="15">
        <v>900916649</v>
      </c>
      <c r="J60" s="16" t="s">
        <v>1295</v>
      </c>
      <c r="K60" s="17">
        <v>200</v>
      </c>
      <c r="L60" s="18" t="s">
        <v>21</v>
      </c>
      <c r="M60" s="19">
        <v>18000</v>
      </c>
      <c r="N60" s="19">
        <v>0</v>
      </c>
      <c r="O60" s="19">
        <f t="shared" si="1"/>
        <v>3600000</v>
      </c>
      <c r="P60" s="17" t="s">
        <v>31</v>
      </c>
    </row>
    <row r="61" spans="1:16" x14ac:dyDescent="0.3">
      <c r="A61" s="9" t="s">
        <v>1291</v>
      </c>
      <c r="B61" s="10">
        <v>50118</v>
      </c>
      <c r="C61" s="11" t="s">
        <v>2304</v>
      </c>
      <c r="D61" s="12">
        <v>43990</v>
      </c>
      <c r="E61" s="12">
        <v>43990</v>
      </c>
      <c r="F61" s="13">
        <v>43453800</v>
      </c>
      <c r="G61" s="14">
        <v>0</v>
      </c>
      <c r="H61" s="9" t="s">
        <v>2180</v>
      </c>
      <c r="I61" s="15">
        <v>900059238</v>
      </c>
      <c r="J61" s="16" t="s">
        <v>2181</v>
      </c>
      <c r="K61" s="17">
        <f>650*50</f>
        <v>32500</v>
      </c>
      <c r="L61" s="18" t="s">
        <v>21</v>
      </c>
      <c r="M61" s="19">
        <f>+F61/K61</f>
        <v>1337.04</v>
      </c>
      <c r="N61" s="19">
        <v>0</v>
      </c>
      <c r="O61" s="19">
        <f t="shared" si="1"/>
        <v>43453800</v>
      </c>
      <c r="P61" s="17" t="s">
        <v>31</v>
      </c>
    </row>
    <row r="62" spans="1:16" x14ac:dyDescent="0.3">
      <c r="A62" s="9" t="s">
        <v>1291</v>
      </c>
      <c r="B62" s="10">
        <v>61951</v>
      </c>
      <c r="C62" s="11" t="s">
        <v>2199</v>
      </c>
      <c r="D62" s="12">
        <v>44181</v>
      </c>
      <c r="E62" s="12">
        <v>44181</v>
      </c>
      <c r="F62" s="13">
        <v>21500000</v>
      </c>
      <c r="G62" s="14">
        <v>0</v>
      </c>
      <c r="H62" s="9" t="s">
        <v>2200</v>
      </c>
      <c r="I62" s="15">
        <v>900442577</v>
      </c>
      <c r="J62" s="16" t="s">
        <v>2201</v>
      </c>
      <c r="K62" s="17">
        <f>500*100</f>
        <v>50000</v>
      </c>
      <c r="L62" s="18" t="s">
        <v>21</v>
      </c>
      <c r="M62" s="19">
        <f>+F62/K62</f>
        <v>430</v>
      </c>
      <c r="N62" s="19">
        <v>0</v>
      </c>
      <c r="O62" s="19">
        <f t="shared" si="1"/>
        <v>21500000</v>
      </c>
      <c r="P62" s="17" t="s">
        <v>31</v>
      </c>
    </row>
    <row r="63" spans="1:16" x14ac:dyDescent="0.3">
      <c r="A63" s="9" t="s">
        <v>1291</v>
      </c>
      <c r="B63" s="10">
        <v>62734</v>
      </c>
      <c r="C63" s="11" t="s">
        <v>2237</v>
      </c>
      <c r="D63" s="12">
        <v>44188</v>
      </c>
      <c r="E63" s="12">
        <v>44188</v>
      </c>
      <c r="F63" s="13">
        <v>658700</v>
      </c>
      <c r="G63" s="14">
        <v>0</v>
      </c>
      <c r="H63" s="9" t="s">
        <v>401</v>
      </c>
      <c r="I63" s="15">
        <v>901211678</v>
      </c>
      <c r="J63" s="16" t="s">
        <v>2237</v>
      </c>
      <c r="K63" s="17">
        <v>650</v>
      </c>
      <c r="L63" s="18" t="s">
        <v>21</v>
      </c>
      <c r="M63" s="19">
        <v>898</v>
      </c>
      <c r="N63" s="19">
        <v>0</v>
      </c>
      <c r="O63" s="19">
        <f t="shared" si="1"/>
        <v>583700</v>
      </c>
      <c r="P63" s="17" t="s">
        <v>31</v>
      </c>
    </row>
    <row r="64" spans="1:16" x14ac:dyDescent="0.3">
      <c r="A64" s="9" t="s">
        <v>1291</v>
      </c>
      <c r="B64" s="10">
        <v>62740</v>
      </c>
      <c r="C64" s="11" t="s">
        <v>2238</v>
      </c>
      <c r="D64" s="12">
        <v>44188</v>
      </c>
      <c r="E64" s="12">
        <v>44188</v>
      </c>
      <c r="F64" s="13">
        <v>3337500</v>
      </c>
      <c r="G64" s="14">
        <v>0</v>
      </c>
      <c r="H64" s="9" t="s">
        <v>2239</v>
      </c>
      <c r="I64" s="15">
        <v>900932987</v>
      </c>
      <c r="J64" s="16" t="s">
        <v>2240</v>
      </c>
      <c r="K64" s="17">
        <v>500</v>
      </c>
      <c r="L64" s="18" t="s">
        <v>21</v>
      </c>
      <c r="M64" s="19">
        <v>6675</v>
      </c>
      <c r="N64" s="19">
        <v>0</v>
      </c>
      <c r="O64" s="19">
        <f t="shared" si="1"/>
        <v>3337500</v>
      </c>
      <c r="P64" s="17" t="s">
        <v>31</v>
      </c>
    </row>
    <row r="65" spans="1:16" x14ac:dyDescent="0.3">
      <c r="A65" s="9" t="s">
        <v>1291</v>
      </c>
      <c r="B65" s="10">
        <v>62768</v>
      </c>
      <c r="C65" s="11" t="s">
        <v>2243</v>
      </c>
      <c r="D65" s="12">
        <v>44189</v>
      </c>
      <c r="E65" s="12">
        <v>44189</v>
      </c>
      <c r="F65" s="13">
        <v>26944480</v>
      </c>
      <c r="G65" s="14">
        <v>0</v>
      </c>
      <c r="H65" s="9" t="s">
        <v>332</v>
      </c>
      <c r="I65" s="15">
        <v>830037946</v>
      </c>
      <c r="J65" s="16" t="s">
        <v>2247</v>
      </c>
      <c r="K65" s="17">
        <f>800*50</f>
        <v>40000</v>
      </c>
      <c r="L65" s="18" t="s">
        <v>21</v>
      </c>
      <c r="M65" s="19">
        <v>597</v>
      </c>
      <c r="N65" s="19">
        <v>0</v>
      </c>
      <c r="O65" s="19">
        <f t="shared" si="1"/>
        <v>23880000</v>
      </c>
      <c r="P65" s="17" t="s">
        <v>31</v>
      </c>
    </row>
    <row r="66" spans="1:16" x14ac:dyDescent="0.3">
      <c r="A66" s="9" t="s">
        <v>1306</v>
      </c>
      <c r="B66" s="10" t="s">
        <v>1338</v>
      </c>
      <c r="C66" s="11" t="s">
        <v>1339</v>
      </c>
      <c r="D66" s="12">
        <v>43917</v>
      </c>
      <c r="E66" s="12">
        <v>43917</v>
      </c>
      <c r="F66" s="13">
        <v>1832949</v>
      </c>
      <c r="G66" s="14">
        <v>0</v>
      </c>
      <c r="H66" s="9" t="s">
        <v>1340</v>
      </c>
      <c r="I66" s="15">
        <v>815004985</v>
      </c>
      <c r="J66" s="16" t="s">
        <v>1343</v>
      </c>
      <c r="K66" s="17">
        <v>1000</v>
      </c>
      <c r="L66" s="18" t="s">
        <v>21</v>
      </c>
      <c r="M66" s="19">
        <v>1021.901</v>
      </c>
      <c r="N66" s="19">
        <v>0</v>
      </c>
      <c r="O66" s="19">
        <f t="shared" ref="O66:O91" si="5">K66*(M66+N66)</f>
        <v>1021901</v>
      </c>
      <c r="P66" s="17" t="s">
        <v>31</v>
      </c>
    </row>
    <row r="67" spans="1:16" x14ac:dyDescent="0.3">
      <c r="A67" s="9" t="s">
        <v>1306</v>
      </c>
      <c r="B67" s="10" t="s">
        <v>1357</v>
      </c>
      <c r="C67" s="11" t="s">
        <v>1358</v>
      </c>
      <c r="D67" s="12">
        <v>43944</v>
      </c>
      <c r="E67" s="12">
        <v>43945</v>
      </c>
      <c r="F67" s="13">
        <v>2000000</v>
      </c>
      <c r="G67" s="14">
        <v>0</v>
      </c>
      <c r="H67" s="9" t="s">
        <v>1340</v>
      </c>
      <c r="I67" s="15">
        <v>815004985</v>
      </c>
      <c r="J67" s="16" t="s">
        <v>1359</v>
      </c>
      <c r="K67" s="17">
        <v>2000</v>
      </c>
      <c r="L67" s="18" t="s">
        <v>21</v>
      </c>
      <c r="M67" s="19">
        <v>1000</v>
      </c>
      <c r="N67" s="19">
        <v>0</v>
      </c>
      <c r="O67" s="19">
        <f t="shared" si="5"/>
        <v>2000000</v>
      </c>
      <c r="P67" s="17" t="s">
        <v>31</v>
      </c>
    </row>
    <row r="68" spans="1:16" x14ac:dyDescent="0.3">
      <c r="A68" s="9" t="s">
        <v>1306</v>
      </c>
      <c r="B68" s="10" t="s">
        <v>1360</v>
      </c>
      <c r="C68" s="11" t="s">
        <v>1361</v>
      </c>
      <c r="D68" s="12">
        <v>43969</v>
      </c>
      <c r="E68" s="12">
        <v>43942</v>
      </c>
      <c r="F68" s="13">
        <v>2682000</v>
      </c>
      <c r="G68" s="14">
        <v>0</v>
      </c>
      <c r="H68" s="9" t="s">
        <v>1362</v>
      </c>
      <c r="I68" s="15">
        <v>901285199</v>
      </c>
      <c r="J68" s="16" t="s">
        <v>1363</v>
      </c>
      <c r="K68" s="17">
        <v>1490</v>
      </c>
      <c r="L68" s="18" t="s">
        <v>21</v>
      </c>
      <c r="M68" s="19">
        <v>1800</v>
      </c>
      <c r="N68" s="19">
        <v>0</v>
      </c>
      <c r="O68" s="19">
        <f t="shared" si="5"/>
        <v>2682000</v>
      </c>
      <c r="P68" s="17" t="s">
        <v>31</v>
      </c>
    </row>
    <row r="69" spans="1:16" x14ac:dyDescent="0.3">
      <c r="A69" s="9" t="s">
        <v>1306</v>
      </c>
      <c r="B69" s="10" t="s">
        <v>2057</v>
      </c>
      <c r="C69" s="11" t="s">
        <v>1368</v>
      </c>
      <c r="D69" s="12">
        <v>43970</v>
      </c>
      <c r="E69" s="12">
        <v>43970</v>
      </c>
      <c r="F69" s="13">
        <v>8900000</v>
      </c>
      <c r="G69" s="14">
        <v>3800000</v>
      </c>
      <c r="H69" s="9" t="s">
        <v>398</v>
      </c>
      <c r="I69" s="15">
        <v>900401081</v>
      </c>
      <c r="J69" s="16" t="s">
        <v>1369</v>
      </c>
      <c r="K69" s="17">
        <v>12700</v>
      </c>
      <c r="L69" s="18" t="s">
        <v>21</v>
      </c>
      <c r="M69" s="19">
        <v>1000</v>
      </c>
      <c r="N69" s="19">
        <v>0</v>
      </c>
      <c r="O69" s="19">
        <f t="shared" si="5"/>
        <v>12700000</v>
      </c>
      <c r="P69" s="17" t="s">
        <v>31</v>
      </c>
    </row>
    <row r="70" spans="1:16" x14ac:dyDescent="0.3">
      <c r="A70" s="9" t="s">
        <v>1306</v>
      </c>
      <c r="B70" s="10" t="s">
        <v>2066</v>
      </c>
      <c r="C70" s="11" t="s">
        <v>1378</v>
      </c>
      <c r="D70" s="12">
        <v>44000</v>
      </c>
      <c r="E70" s="12">
        <v>44000</v>
      </c>
      <c r="F70" s="13">
        <v>49500001</v>
      </c>
      <c r="G70" s="14">
        <v>0</v>
      </c>
      <c r="H70" s="9" t="s">
        <v>398</v>
      </c>
      <c r="I70" s="15">
        <v>900401081</v>
      </c>
      <c r="J70" s="16" t="s">
        <v>1369</v>
      </c>
      <c r="K70" s="17">
        <v>50000</v>
      </c>
      <c r="L70" s="18" t="s">
        <v>21</v>
      </c>
      <c r="M70" s="19">
        <v>990.00001999999995</v>
      </c>
      <c r="N70" s="19">
        <v>0</v>
      </c>
      <c r="O70" s="19">
        <f t="shared" si="5"/>
        <v>49500001</v>
      </c>
      <c r="P70" s="17" t="s">
        <v>31</v>
      </c>
    </row>
    <row r="71" spans="1:16" x14ac:dyDescent="0.3">
      <c r="A71" s="9" t="s">
        <v>1306</v>
      </c>
      <c r="B71" s="10" t="s">
        <v>1408</v>
      </c>
      <c r="C71" s="11" t="s">
        <v>1409</v>
      </c>
      <c r="D71" s="12">
        <v>44166</v>
      </c>
      <c r="E71" s="12">
        <v>44166</v>
      </c>
      <c r="F71" s="13">
        <v>45875000</v>
      </c>
      <c r="G71" s="14">
        <v>0</v>
      </c>
      <c r="H71" s="9" t="s">
        <v>398</v>
      </c>
      <c r="I71" s="15" t="s">
        <v>1410</v>
      </c>
      <c r="J71" s="16" t="s">
        <v>1924</v>
      </c>
      <c r="K71" s="17">
        <v>91200</v>
      </c>
      <c r="L71" s="18" t="s">
        <v>21</v>
      </c>
      <c r="M71" s="19">
        <v>500</v>
      </c>
      <c r="N71" s="19">
        <v>0</v>
      </c>
      <c r="O71" s="19">
        <f t="shared" si="5"/>
        <v>45600000</v>
      </c>
      <c r="P71" s="17" t="s">
        <v>31</v>
      </c>
    </row>
    <row r="72" spans="1:16" x14ac:dyDescent="0.3">
      <c r="A72" s="9" t="s">
        <v>1437</v>
      </c>
      <c r="B72" s="10" t="s">
        <v>2070</v>
      </c>
      <c r="C72" s="11" t="s">
        <v>1438</v>
      </c>
      <c r="D72" s="12">
        <v>43477</v>
      </c>
      <c r="E72" s="12">
        <v>43800</v>
      </c>
      <c r="F72" s="13">
        <v>0</v>
      </c>
      <c r="G72" s="14">
        <v>67434392</v>
      </c>
      <c r="H72" s="9" t="s">
        <v>1439</v>
      </c>
      <c r="I72" s="15">
        <v>811044253</v>
      </c>
      <c r="J72" s="16" t="s">
        <v>1445</v>
      </c>
      <c r="K72" s="17">
        <v>6000</v>
      </c>
      <c r="L72" s="18" t="s">
        <v>21</v>
      </c>
      <c r="M72" s="19">
        <v>3680</v>
      </c>
      <c r="N72" s="19">
        <v>0</v>
      </c>
      <c r="O72" s="19">
        <f t="shared" si="5"/>
        <v>22080000</v>
      </c>
      <c r="P72" s="17" t="s">
        <v>31</v>
      </c>
    </row>
    <row r="73" spans="1:16" x14ac:dyDescent="0.3">
      <c r="A73" s="9" t="s">
        <v>1472</v>
      </c>
      <c r="B73" s="10" t="s">
        <v>1473</v>
      </c>
      <c r="C73" s="11" t="s">
        <v>1474</v>
      </c>
      <c r="D73" s="12">
        <v>43914</v>
      </c>
      <c r="E73" s="12">
        <v>43914</v>
      </c>
      <c r="F73" s="13">
        <v>19313663</v>
      </c>
      <c r="G73" s="14">
        <v>0</v>
      </c>
      <c r="H73" s="9" t="s">
        <v>1475</v>
      </c>
      <c r="I73" s="15">
        <v>92511814</v>
      </c>
      <c r="J73" s="16" t="s">
        <v>1477</v>
      </c>
      <c r="K73" s="17">
        <v>1500</v>
      </c>
      <c r="L73" s="18" t="s">
        <v>21</v>
      </c>
      <c r="M73" s="19">
        <v>4200</v>
      </c>
      <c r="N73" s="19">
        <f t="shared" ref="N73" si="6">M73*0.19</f>
        <v>798</v>
      </c>
      <c r="O73" s="19">
        <f t="shared" si="5"/>
        <v>7497000</v>
      </c>
      <c r="P73" s="17" t="s">
        <v>31</v>
      </c>
    </row>
    <row r="74" spans="1:16" x14ac:dyDescent="0.3">
      <c r="A74" s="9" t="s">
        <v>1472</v>
      </c>
      <c r="B74" s="10" t="s">
        <v>1486</v>
      </c>
      <c r="C74" s="11" t="s">
        <v>1474</v>
      </c>
      <c r="D74" s="12">
        <v>43937</v>
      </c>
      <c r="E74" s="12">
        <v>43937</v>
      </c>
      <c r="F74" s="13">
        <v>36963400</v>
      </c>
      <c r="G74" s="14">
        <v>0</v>
      </c>
      <c r="H74" s="9" t="s">
        <v>1487</v>
      </c>
      <c r="I74" s="15">
        <v>901008660</v>
      </c>
      <c r="J74" s="16" t="s">
        <v>1489</v>
      </c>
      <c r="K74" s="17">
        <v>12000</v>
      </c>
      <c r="L74" s="18" t="s">
        <v>21</v>
      </c>
      <c r="M74" s="19">
        <v>2352</v>
      </c>
      <c r="N74" s="19">
        <v>0</v>
      </c>
      <c r="O74" s="19">
        <f t="shared" si="5"/>
        <v>28224000</v>
      </c>
      <c r="P74" s="17" t="s">
        <v>31</v>
      </c>
    </row>
    <row r="75" spans="1:16" x14ac:dyDescent="0.3">
      <c r="A75" s="9" t="s">
        <v>1472</v>
      </c>
      <c r="B75" s="10" t="s">
        <v>1528</v>
      </c>
      <c r="C75" s="11" t="s">
        <v>1529</v>
      </c>
      <c r="D75" s="12">
        <v>43971</v>
      </c>
      <c r="E75" s="12">
        <v>43971</v>
      </c>
      <c r="F75" s="13">
        <v>14137298</v>
      </c>
      <c r="G75" s="14">
        <v>0</v>
      </c>
      <c r="H75" s="9" t="s">
        <v>1530</v>
      </c>
      <c r="I75" s="15">
        <v>66973463</v>
      </c>
      <c r="J75" s="16" t="s">
        <v>1531</v>
      </c>
      <c r="K75" s="17">
        <v>9400</v>
      </c>
      <c r="L75" s="18" t="s">
        <v>21</v>
      </c>
      <c r="M75" s="19">
        <v>1489.2553</v>
      </c>
      <c r="N75" s="19">
        <v>0</v>
      </c>
      <c r="O75" s="19">
        <f t="shared" si="5"/>
        <v>13998999.82</v>
      </c>
      <c r="P75" s="17" t="s">
        <v>31</v>
      </c>
    </row>
    <row r="76" spans="1:16" x14ac:dyDescent="0.3">
      <c r="A76" s="9" t="s">
        <v>1472</v>
      </c>
      <c r="B76" s="10" t="s">
        <v>1532</v>
      </c>
      <c r="C76" s="11" t="s">
        <v>1529</v>
      </c>
      <c r="D76" s="12">
        <v>43974</v>
      </c>
      <c r="E76" s="12">
        <v>43974</v>
      </c>
      <c r="F76" s="13">
        <v>27680850.550000001</v>
      </c>
      <c r="G76" s="14">
        <v>0</v>
      </c>
      <c r="H76" s="9" t="s">
        <v>356</v>
      </c>
      <c r="I76" s="15">
        <v>900300970</v>
      </c>
      <c r="J76" s="16" t="s">
        <v>1533</v>
      </c>
      <c r="K76" s="17">
        <v>20000</v>
      </c>
      <c r="L76" s="18" t="s">
        <v>21</v>
      </c>
      <c r="M76" s="19">
        <v>1372.3404</v>
      </c>
      <c r="N76" s="19">
        <v>0</v>
      </c>
      <c r="O76" s="19">
        <f t="shared" si="5"/>
        <v>27446808</v>
      </c>
      <c r="P76" s="17" t="s">
        <v>31</v>
      </c>
    </row>
    <row r="77" spans="1:16" x14ac:dyDescent="0.3">
      <c r="A77" s="9" t="s">
        <v>1472</v>
      </c>
      <c r="B77" s="10" t="s">
        <v>1561</v>
      </c>
      <c r="C77" s="11" t="s">
        <v>1562</v>
      </c>
      <c r="D77" s="12">
        <v>43770</v>
      </c>
      <c r="E77" s="12">
        <v>43936</v>
      </c>
      <c r="F77" s="13">
        <v>0</v>
      </c>
      <c r="G77" s="14">
        <v>31068000</v>
      </c>
      <c r="H77" s="9" t="s">
        <v>1563</v>
      </c>
      <c r="I77" s="15">
        <v>812000152</v>
      </c>
      <c r="J77" s="16" t="s">
        <v>1570</v>
      </c>
      <c r="K77" s="17">
        <v>6500</v>
      </c>
      <c r="L77" s="18" t="s">
        <v>21</v>
      </c>
      <c r="M77" s="19">
        <v>1800</v>
      </c>
      <c r="N77" s="19">
        <v>0</v>
      </c>
      <c r="O77" s="19">
        <f t="shared" si="5"/>
        <v>11700000</v>
      </c>
      <c r="P77" s="17" t="s">
        <v>31</v>
      </c>
    </row>
    <row r="78" spans="1:16" x14ac:dyDescent="0.3">
      <c r="A78" s="9" t="s">
        <v>1571</v>
      </c>
      <c r="B78" s="10" t="s">
        <v>2079</v>
      </c>
      <c r="C78" s="11" t="s">
        <v>1575</v>
      </c>
      <c r="D78" s="12">
        <v>43909</v>
      </c>
      <c r="E78" s="12">
        <v>43909</v>
      </c>
      <c r="F78" s="13">
        <v>29028000</v>
      </c>
      <c r="G78" s="14">
        <v>0</v>
      </c>
      <c r="H78" s="9" t="s">
        <v>1576</v>
      </c>
      <c r="I78" s="15">
        <v>900837029</v>
      </c>
      <c r="J78" s="16" t="s">
        <v>115</v>
      </c>
      <c r="K78" s="17">
        <v>9300</v>
      </c>
      <c r="L78" s="18" t="s">
        <v>21</v>
      </c>
      <c r="M78" s="19">
        <v>1394.9579831932774</v>
      </c>
      <c r="N78" s="19">
        <f t="shared" ref="N78" si="7">M78*0.19</f>
        <v>265.0420168067227</v>
      </c>
      <c r="O78" s="19">
        <f t="shared" si="5"/>
        <v>15438000</v>
      </c>
      <c r="P78" s="17" t="s">
        <v>31</v>
      </c>
    </row>
    <row r="79" spans="1:16" x14ac:dyDescent="0.3">
      <c r="A79" s="9" t="s">
        <v>1571</v>
      </c>
      <c r="B79" s="10" t="s">
        <v>2082</v>
      </c>
      <c r="C79" s="11" t="s">
        <v>1584</v>
      </c>
      <c r="D79" s="12">
        <v>43966</v>
      </c>
      <c r="E79" s="12">
        <v>43969</v>
      </c>
      <c r="F79" s="13">
        <v>13396000</v>
      </c>
      <c r="G79" s="14">
        <v>0</v>
      </c>
      <c r="H79" s="9" t="s">
        <v>1585</v>
      </c>
      <c r="I79" s="15">
        <v>900342297</v>
      </c>
      <c r="J79" s="16" t="s">
        <v>1586</v>
      </c>
      <c r="K79" s="17">
        <v>4000</v>
      </c>
      <c r="L79" s="18" t="s">
        <v>21</v>
      </c>
      <c r="M79" s="19">
        <v>3349</v>
      </c>
      <c r="N79" s="19">
        <v>0</v>
      </c>
      <c r="O79" s="19">
        <f t="shared" si="5"/>
        <v>13396000</v>
      </c>
      <c r="P79" s="17" t="s">
        <v>31</v>
      </c>
    </row>
    <row r="80" spans="1:16" x14ac:dyDescent="0.3">
      <c r="A80" s="9" t="s">
        <v>1571</v>
      </c>
      <c r="B80" s="10" t="s">
        <v>2103</v>
      </c>
      <c r="C80" s="11" t="s">
        <v>1828</v>
      </c>
      <c r="D80" s="12">
        <v>44099</v>
      </c>
      <c r="E80" s="12">
        <v>44099</v>
      </c>
      <c r="F80" s="13">
        <v>8030300.8099999996</v>
      </c>
      <c r="G80" s="14">
        <v>0</v>
      </c>
      <c r="H80" s="9" t="s">
        <v>1257</v>
      </c>
      <c r="I80" s="15">
        <v>9003309573</v>
      </c>
      <c r="J80" s="16" t="s">
        <v>49</v>
      </c>
      <c r="K80" s="17">
        <v>50000</v>
      </c>
      <c r="L80" s="18" t="s">
        <v>21</v>
      </c>
      <c r="M80" s="19">
        <v>144.4444</v>
      </c>
      <c r="N80" s="19">
        <v>0</v>
      </c>
      <c r="O80" s="19">
        <f t="shared" si="5"/>
        <v>7222220</v>
      </c>
      <c r="P80" s="17" t="s">
        <v>31</v>
      </c>
    </row>
    <row r="81" spans="1:16" x14ac:dyDescent="0.3">
      <c r="A81" s="9" t="s">
        <v>1571</v>
      </c>
      <c r="B81" s="10" t="s">
        <v>2109</v>
      </c>
      <c r="C81" s="11" t="s">
        <v>1829</v>
      </c>
      <c r="D81" s="12">
        <v>44106</v>
      </c>
      <c r="E81" s="12">
        <v>44106</v>
      </c>
      <c r="F81" s="13">
        <v>8265648.4800000004</v>
      </c>
      <c r="G81" s="14">
        <v>0</v>
      </c>
      <c r="H81" s="9" t="s">
        <v>1624</v>
      </c>
      <c r="I81" s="15">
        <v>900801396</v>
      </c>
      <c r="J81" s="16" t="s">
        <v>1586</v>
      </c>
      <c r="K81" s="17">
        <v>8000</v>
      </c>
      <c r="L81" s="18" t="s">
        <v>21</v>
      </c>
      <c r="M81" s="19">
        <v>1010.1</v>
      </c>
      <c r="N81" s="19">
        <v>0</v>
      </c>
      <c r="O81" s="19">
        <f t="shared" si="5"/>
        <v>8080800</v>
      </c>
      <c r="P81" s="17" t="s">
        <v>31</v>
      </c>
    </row>
    <row r="82" spans="1:16" x14ac:dyDescent="0.3">
      <c r="A82" s="9" t="s">
        <v>1629</v>
      </c>
      <c r="B82" s="10" t="s">
        <v>2114</v>
      </c>
      <c r="C82" s="11" t="s">
        <v>1633</v>
      </c>
      <c r="D82" s="12">
        <v>43931</v>
      </c>
      <c r="E82" s="12">
        <v>43936</v>
      </c>
      <c r="F82" s="13">
        <v>21896000</v>
      </c>
      <c r="G82" s="14">
        <v>0</v>
      </c>
      <c r="H82" s="9" t="s">
        <v>1634</v>
      </c>
      <c r="I82" s="15">
        <v>900712491</v>
      </c>
      <c r="J82" s="16" t="s">
        <v>1635</v>
      </c>
      <c r="K82" s="17">
        <v>20000</v>
      </c>
      <c r="L82" s="18" t="s">
        <v>21</v>
      </c>
      <c r="M82" s="19">
        <v>920</v>
      </c>
      <c r="N82" s="19">
        <f t="shared" ref="N82" si="8">M82*0.19</f>
        <v>174.8</v>
      </c>
      <c r="O82" s="19">
        <f t="shared" si="5"/>
        <v>21896000</v>
      </c>
      <c r="P82" s="17" t="s">
        <v>31</v>
      </c>
    </row>
    <row r="83" spans="1:16" x14ac:dyDescent="0.3">
      <c r="A83" s="9" t="s">
        <v>1629</v>
      </c>
      <c r="B83" s="10" t="s">
        <v>1649</v>
      </c>
      <c r="C83" s="11" t="s">
        <v>1650</v>
      </c>
      <c r="D83" s="12">
        <v>43958</v>
      </c>
      <c r="E83" s="12">
        <v>43958</v>
      </c>
      <c r="F83" s="13">
        <v>5095000</v>
      </c>
      <c r="G83" s="14">
        <v>0</v>
      </c>
      <c r="H83" s="9" t="s">
        <v>603</v>
      </c>
      <c r="I83" s="15">
        <v>80736955</v>
      </c>
      <c r="J83" s="16" t="s">
        <v>1651</v>
      </c>
      <c r="K83" s="17">
        <v>5000</v>
      </c>
      <c r="L83" s="18" t="s">
        <v>21</v>
      </c>
      <c r="M83" s="19">
        <v>989</v>
      </c>
      <c r="N83" s="19">
        <v>0</v>
      </c>
      <c r="O83" s="19">
        <f t="shared" si="5"/>
        <v>4945000</v>
      </c>
      <c r="P83" s="17" t="s">
        <v>31</v>
      </c>
    </row>
    <row r="84" spans="1:16" x14ac:dyDescent="0.3">
      <c r="A84" s="9" t="s">
        <v>1629</v>
      </c>
      <c r="B84" s="10" t="s">
        <v>1652</v>
      </c>
      <c r="C84" s="11" t="s">
        <v>1653</v>
      </c>
      <c r="D84" s="12">
        <v>43965</v>
      </c>
      <c r="E84" s="12">
        <v>43965</v>
      </c>
      <c r="F84" s="13">
        <v>71093750</v>
      </c>
      <c r="G84" s="14">
        <v>0</v>
      </c>
      <c r="H84" s="9" t="s">
        <v>48</v>
      </c>
      <c r="I84" s="15">
        <v>901243179</v>
      </c>
      <c r="J84" s="16" t="s">
        <v>1654</v>
      </c>
      <c r="K84" s="17">
        <v>75000</v>
      </c>
      <c r="L84" s="18" t="s">
        <v>21</v>
      </c>
      <c r="M84" s="19">
        <v>937.5</v>
      </c>
      <c r="N84" s="19">
        <v>0</v>
      </c>
      <c r="O84" s="19">
        <f t="shared" si="5"/>
        <v>70312500</v>
      </c>
      <c r="P84" s="17" t="s">
        <v>31</v>
      </c>
    </row>
    <row r="85" spans="1:16" x14ac:dyDescent="0.3">
      <c r="A85" s="9" t="s">
        <v>1629</v>
      </c>
      <c r="B85" s="10" t="s">
        <v>2121</v>
      </c>
      <c r="C85" s="11" t="s">
        <v>1833</v>
      </c>
      <c r="D85" s="12">
        <v>44152</v>
      </c>
      <c r="E85" s="12">
        <v>44152</v>
      </c>
      <c r="F85" s="13">
        <v>923842.3</v>
      </c>
      <c r="G85" s="14">
        <v>0</v>
      </c>
      <c r="H85" s="9" t="s">
        <v>1947</v>
      </c>
      <c r="I85" s="15">
        <v>80736955</v>
      </c>
      <c r="J85" s="16" t="s">
        <v>1684</v>
      </c>
      <c r="K85" s="17">
        <v>870</v>
      </c>
      <c r="L85" s="18" t="s">
        <v>21</v>
      </c>
      <c r="M85" s="19">
        <v>882.29</v>
      </c>
      <c r="N85" s="19">
        <v>0</v>
      </c>
      <c r="O85" s="19">
        <f t="shared" si="5"/>
        <v>767592.29999999993</v>
      </c>
      <c r="P85" s="17" t="s">
        <v>31</v>
      </c>
    </row>
    <row r="86" spans="1:16" x14ac:dyDescent="0.3">
      <c r="A86" s="9" t="s">
        <v>1629</v>
      </c>
      <c r="B86" s="10" t="s">
        <v>2123</v>
      </c>
      <c r="C86" s="11" t="s">
        <v>1835</v>
      </c>
      <c r="D86" s="12">
        <v>44152</v>
      </c>
      <c r="E86" s="12">
        <v>44152</v>
      </c>
      <c r="F86" s="13">
        <v>8140000</v>
      </c>
      <c r="G86" s="14">
        <v>0</v>
      </c>
      <c r="H86" s="9" t="s">
        <v>1686</v>
      </c>
      <c r="I86" s="15">
        <v>830025916</v>
      </c>
      <c r="J86" s="16" t="s">
        <v>49</v>
      </c>
      <c r="K86" s="17">
        <v>700</v>
      </c>
      <c r="L86" s="18" t="s">
        <v>21</v>
      </c>
      <c r="M86" s="19">
        <v>10300</v>
      </c>
      <c r="N86" s="19">
        <v>0</v>
      </c>
      <c r="O86" s="19">
        <f t="shared" si="5"/>
        <v>7210000</v>
      </c>
      <c r="P86" s="17" t="s">
        <v>31</v>
      </c>
    </row>
    <row r="87" spans="1:16" x14ac:dyDescent="0.3">
      <c r="A87" s="9" t="s">
        <v>1629</v>
      </c>
      <c r="B87" s="10" t="s">
        <v>2124</v>
      </c>
      <c r="C87" s="11" t="s">
        <v>1836</v>
      </c>
      <c r="D87" s="12">
        <v>44152</v>
      </c>
      <c r="E87" s="12">
        <v>44152</v>
      </c>
      <c r="F87" s="13">
        <v>7562502</v>
      </c>
      <c r="G87" s="14">
        <v>0</v>
      </c>
      <c r="H87" s="9" t="s">
        <v>1686</v>
      </c>
      <c r="I87" s="15">
        <v>830025916</v>
      </c>
      <c r="J87" s="16" t="s">
        <v>49</v>
      </c>
      <c r="K87" s="17">
        <v>600</v>
      </c>
      <c r="L87" s="18" t="s">
        <v>21</v>
      </c>
      <c r="M87" s="19">
        <v>10729.17</v>
      </c>
      <c r="N87" s="19">
        <v>0</v>
      </c>
      <c r="O87" s="19">
        <f t="shared" si="5"/>
        <v>6437502</v>
      </c>
      <c r="P87" s="17" t="s">
        <v>31</v>
      </c>
    </row>
    <row r="88" spans="1:16" x14ac:dyDescent="0.3">
      <c r="A88" s="9" t="s">
        <v>1629</v>
      </c>
      <c r="B88" s="10" t="s">
        <v>2126</v>
      </c>
      <c r="C88" s="11" t="s">
        <v>1838</v>
      </c>
      <c r="D88" s="12">
        <v>44154</v>
      </c>
      <c r="E88" s="12">
        <v>44154</v>
      </c>
      <c r="F88" s="13">
        <v>1674600</v>
      </c>
      <c r="G88" s="14">
        <v>0</v>
      </c>
      <c r="H88" s="9" t="s">
        <v>1947</v>
      </c>
      <c r="I88" s="15">
        <v>80736955</v>
      </c>
      <c r="J88" s="16" t="s">
        <v>1687</v>
      </c>
      <c r="K88" s="17">
        <v>1800</v>
      </c>
      <c r="L88" s="18" t="s">
        <v>21</v>
      </c>
      <c r="M88" s="19">
        <v>847</v>
      </c>
      <c r="N88" s="19">
        <v>0</v>
      </c>
      <c r="O88" s="19">
        <f t="shared" si="5"/>
        <v>1524600</v>
      </c>
      <c r="P88" s="17" t="s">
        <v>31</v>
      </c>
    </row>
    <row r="89" spans="1:16" x14ac:dyDescent="0.3">
      <c r="A89" s="9" t="s">
        <v>1692</v>
      </c>
      <c r="B89" s="10" t="s">
        <v>1703</v>
      </c>
      <c r="C89" s="11" t="s">
        <v>1704</v>
      </c>
      <c r="D89" s="12">
        <v>43943</v>
      </c>
      <c r="E89" s="12">
        <v>43943</v>
      </c>
      <c r="F89" s="13">
        <v>3900000</v>
      </c>
      <c r="G89" s="14">
        <v>0</v>
      </c>
      <c r="H89" s="9" t="s">
        <v>1705</v>
      </c>
      <c r="I89" s="15">
        <v>900536323</v>
      </c>
      <c r="J89" s="16" t="s">
        <v>1706</v>
      </c>
      <c r="K89" s="17">
        <v>3000</v>
      </c>
      <c r="L89" s="18" t="s">
        <v>21</v>
      </c>
      <c r="M89" s="19">
        <v>1300</v>
      </c>
      <c r="N89" s="19">
        <v>0</v>
      </c>
      <c r="O89" s="19">
        <f t="shared" si="5"/>
        <v>3900000</v>
      </c>
      <c r="P89" s="17" t="s">
        <v>31</v>
      </c>
    </row>
    <row r="90" spans="1:16" x14ac:dyDescent="0.3">
      <c r="A90" s="9" t="s">
        <v>1692</v>
      </c>
      <c r="B90" s="10" t="s">
        <v>1711</v>
      </c>
      <c r="C90" s="11" t="s">
        <v>1708</v>
      </c>
      <c r="D90" s="12">
        <v>43965</v>
      </c>
      <c r="E90" s="12">
        <v>43965</v>
      </c>
      <c r="F90" s="13">
        <v>4000000</v>
      </c>
      <c r="G90" s="14">
        <v>0</v>
      </c>
      <c r="H90" s="9" t="s">
        <v>1712</v>
      </c>
      <c r="I90" s="15">
        <v>900401081</v>
      </c>
      <c r="J90" s="16" t="s">
        <v>1713</v>
      </c>
      <c r="K90" s="17">
        <v>4000</v>
      </c>
      <c r="L90" s="18" t="s">
        <v>21</v>
      </c>
      <c r="M90" s="19">
        <v>1000</v>
      </c>
      <c r="N90" s="19">
        <v>0</v>
      </c>
      <c r="O90" s="19">
        <f t="shared" si="5"/>
        <v>4000000</v>
      </c>
      <c r="P90" s="17" t="s">
        <v>31</v>
      </c>
    </row>
    <row r="91" spans="1:16" x14ac:dyDescent="0.3">
      <c r="A91" s="9" t="s">
        <v>1692</v>
      </c>
      <c r="B91" s="10" t="s">
        <v>1745</v>
      </c>
      <c r="C91" s="11" t="s">
        <v>1746</v>
      </c>
      <c r="D91" s="12">
        <v>44008</v>
      </c>
      <c r="E91" s="12">
        <v>44008</v>
      </c>
      <c r="F91" s="13">
        <v>5394001</v>
      </c>
      <c r="G91" s="14">
        <v>0</v>
      </c>
      <c r="H91" s="9" t="s">
        <v>60</v>
      </c>
      <c r="I91" s="15">
        <v>830001338</v>
      </c>
      <c r="J91" s="16" t="s">
        <v>1747</v>
      </c>
      <c r="K91" s="17">
        <v>6000</v>
      </c>
      <c r="L91" s="18" t="s">
        <v>21</v>
      </c>
      <c r="M91" s="19">
        <v>899</v>
      </c>
      <c r="N91" s="19">
        <v>0</v>
      </c>
      <c r="O91" s="19">
        <f t="shared" si="5"/>
        <v>5394000</v>
      </c>
      <c r="P91" s="17" t="s">
        <v>31</v>
      </c>
    </row>
    <row r="92" spans="1:16" x14ac:dyDescent="0.3">
      <c r="A92" s="9" t="s">
        <v>1692</v>
      </c>
      <c r="B92" s="10" t="s">
        <v>2145</v>
      </c>
      <c r="C92" s="11" t="s">
        <v>2160</v>
      </c>
      <c r="D92" s="12" t="s">
        <v>2143</v>
      </c>
      <c r="E92" s="12" t="s">
        <v>2143</v>
      </c>
      <c r="F92" s="13">
        <v>4183500</v>
      </c>
      <c r="G92" s="14">
        <v>0</v>
      </c>
      <c r="H92" s="9" t="s">
        <v>2146</v>
      </c>
      <c r="I92" s="15">
        <v>900401108</v>
      </c>
      <c r="J92" s="16" t="s">
        <v>1088</v>
      </c>
      <c r="K92" s="17">
        <v>8300</v>
      </c>
      <c r="L92" s="18" t="s">
        <v>21</v>
      </c>
      <c r="M92" s="19">
        <v>495</v>
      </c>
      <c r="N92" s="19">
        <v>0</v>
      </c>
      <c r="O92" s="19">
        <f>K92*(M92+N92)</f>
        <v>4108500</v>
      </c>
      <c r="P92" s="17" t="s">
        <v>31</v>
      </c>
    </row>
    <row r="93" spans="1:16" x14ac:dyDescent="0.3">
      <c r="A93" s="9" t="s">
        <v>1692</v>
      </c>
      <c r="B93" s="10" t="s">
        <v>2154</v>
      </c>
      <c r="C93" s="11" t="s">
        <v>2165</v>
      </c>
      <c r="D93" s="12">
        <v>44161</v>
      </c>
      <c r="E93" s="12">
        <v>44161</v>
      </c>
      <c r="F93" s="13">
        <v>17585000</v>
      </c>
      <c r="G93" s="14">
        <v>0</v>
      </c>
      <c r="H93" s="9" t="s">
        <v>2155</v>
      </c>
      <c r="I93" s="15">
        <v>90040108</v>
      </c>
      <c r="J93" s="16" t="s">
        <v>31</v>
      </c>
      <c r="K93" s="17">
        <v>31500</v>
      </c>
      <c r="L93" s="18" t="s">
        <v>21</v>
      </c>
      <c r="M93" s="19">
        <v>500</v>
      </c>
      <c r="N93" s="19">
        <v>0</v>
      </c>
      <c r="O93" s="19">
        <f t="shared" ref="O93" si="9">K93*(M93+N93)</f>
        <v>15750000</v>
      </c>
      <c r="P93" s="17" t="s">
        <v>31</v>
      </c>
    </row>
  </sheetData>
  <dataValidations count="19">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39 E43:E44 E59:E60 B2 E66 E78 D2:I2 E72 A2:A4 D5:I6 D7:E7 E8 E12 E15:E17 E20:E21 E24 E26:E28 A5:B6 E49 E74:E76 A83:B84 D83:I84 G85:G88 D89:I89 A89:B89">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la orden (Formato AAAA/MM/DD)." sqref="D50:E58 D45:E48 D70:E70 D67:E68 D82:E82 D3:E3 E22:E23 D29:E30 D32:E32 D38:E38 D40:E42 D85:E88 D90:E93">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43:D44 D59:D60 D49 D69:E69 E73 D8 D12 D15:D16 D24 D26:D28 D39 D66 D72:D76 D78 D79:E79">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42:F44 F49 F59:F60 F39 F8:F9 F12 F15 F24 F26:F28 F72:F76 F78 F8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12:A15 A30:A48 A59:A65 A18:A28 A67:A68 A73:A76">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43:I44 I59 I49:I50 I67:I68 I74 I82 I8:I9 I12 I15 I20 I24 I29 I39 I78 I90:I9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59 H38:H50 H32 H71 H73:H74 H82 H8:H9 H12 H15:H16 H24 H26:H30 H67:H68 H78 H90:H9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4 B26:B28 B30 B32 B38:B49 B59:B60 B8 B12 B15 D18:D19 B73:B76">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17">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18:I19 I26:I28 I38 I42 I60 I85 I88">
      <formula1>-99999999999</formula1>
      <formula2>99999999999</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E18:E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H18:H19">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F18:F19">
      <formula1>0</formula1>
      <formula2>8</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B18:B19">
      <formula1>0</formula1>
      <formula2>290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G57 A29 F56:F57 A90:A9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29:F30 F46:F48 F50 F82 F71 F67:F68 F90:F9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29 B34 B50 B67:B68 B85:B88 B90:B9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C32 J92 P92">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59:G60 G37 G33:G35 G74">
      <formula1>-9223372036854770000</formula1>
      <formula2>9223372036854770000</formula2>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sqref="A1:P15"/>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196</v>
      </c>
      <c r="B2" s="10" t="s">
        <v>1993</v>
      </c>
      <c r="C2" s="11" t="s">
        <v>1760</v>
      </c>
      <c r="D2" s="12">
        <v>44085</v>
      </c>
      <c r="E2" s="12">
        <v>44085</v>
      </c>
      <c r="F2" s="13">
        <v>6664000</v>
      </c>
      <c r="G2" s="14">
        <v>0</v>
      </c>
      <c r="H2" s="9" t="s">
        <v>265</v>
      </c>
      <c r="I2" s="15">
        <v>860007336</v>
      </c>
      <c r="J2" s="16" t="s">
        <v>1849</v>
      </c>
      <c r="K2" s="17">
        <v>34</v>
      </c>
      <c r="L2" s="18" t="s">
        <v>264</v>
      </c>
      <c r="M2" s="19">
        <v>196000</v>
      </c>
      <c r="N2" s="19">
        <v>0</v>
      </c>
      <c r="O2" s="19">
        <f t="shared" ref="O2:O15" si="0">K2*(M2+N2)</f>
        <v>6664000</v>
      </c>
      <c r="P2" s="17" t="s">
        <v>328</v>
      </c>
    </row>
    <row r="3" spans="1:16" x14ac:dyDescent="0.3">
      <c r="A3" s="9" t="s">
        <v>196</v>
      </c>
      <c r="B3" s="10" t="s">
        <v>2002</v>
      </c>
      <c r="C3" s="11" t="s">
        <v>1769</v>
      </c>
      <c r="D3" s="12">
        <v>44145</v>
      </c>
      <c r="E3" s="12">
        <v>44145</v>
      </c>
      <c r="F3" s="13">
        <v>49779524</v>
      </c>
      <c r="G3" s="14">
        <v>0</v>
      </c>
      <c r="H3" s="9" t="s">
        <v>272</v>
      </c>
      <c r="I3" s="15">
        <v>900671732</v>
      </c>
      <c r="J3" s="16" t="s">
        <v>1854</v>
      </c>
      <c r="K3" s="17">
        <v>400</v>
      </c>
      <c r="L3" s="18" t="s">
        <v>261</v>
      </c>
      <c r="M3" s="19">
        <v>104578.83193277312</v>
      </c>
      <c r="N3" s="19">
        <f>M3*0.19</f>
        <v>19869.978067226893</v>
      </c>
      <c r="O3" s="19">
        <f t="shared" si="0"/>
        <v>49779524.000000007</v>
      </c>
      <c r="P3" s="17" t="s">
        <v>328</v>
      </c>
    </row>
    <row r="4" spans="1:16" x14ac:dyDescent="0.3">
      <c r="A4" s="9" t="s">
        <v>196</v>
      </c>
      <c r="B4" s="10" t="s">
        <v>2005</v>
      </c>
      <c r="C4" s="11" t="s">
        <v>1772</v>
      </c>
      <c r="D4" s="12">
        <v>44147</v>
      </c>
      <c r="E4" s="12">
        <v>44147</v>
      </c>
      <c r="F4" s="13">
        <v>11905000</v>
      </c>
      <c r="G4" s="14">
        <v>0</v>
      </c>
      <c r="H4" s="9" t="s">
        <v>275</v>
      </c>
      <c r="I4" s="15">
        <v>9011694079</v>
      </c>
      <c r="J4" s="16" t="s">
        <v>1855</v>
      </c>
      <c r="K4" s="17">
        <v>100</v>
      </c>
      <c r="L4" s="18" t="s">
        <v>261</v>
      </c>
      <c r="M4" s="19">
        <v>100042.01680672269</v>
      </c>
      <c r="N4" s="19">
        <f t="shared" ref="N4" si="1">M4*0.19</f>
        <v>19007.983193277312</v>
      </c>
      <c r="O4" s="19">
        <f t="shared" si="0"/>
        <v>11905000</v>
      </c>
      <c r="P4" s="17" t="s">
        <v>328</v>
      </c>
    </row>
    <row r="5" spans="1:16" x14ac:dyDescent="0.3">
      <c r="A5" s="9" t="s">
        <v>284</v>
      </c>
      <c r="B5" s="10" t="s">
        <v>323</v>
      </c>
      <c r="C5" s="11" t="s">
        <v>324</v>
      </c>
      <c r="D5" s="12">
        <v>43963</v>
      </c>
      <c r="E5" s="12">
        <v>43964</v>
      </c>
      <c r="F5" s="13">
        <v>10399998</v>
      </c>
      <c r="G5" s="14">
        <v>0</v>
      </c>
      <c r="H5" s="9" t="s">
        <v>325</v>
      </c>
      <c r="I5" s="15">
        <v>900151140</v>
      </c>
      <c r="J5" s="16" t="s">
        <v>326</v>
      </c>
      <c r="K5" s="17">
        <v>32</v>
      </c>
      <c r="L5" s="18" t="s">
        <v>327</v>
      </c>
      <c r="M5" s="19">
        <v>210083.99</v>
      </c>
      <c r="N5" s="19">
        <f>M5*0.19</f>
        <v>39915.958099999996</v>
      </c>
      <c r="O5" s="19">
        <f t="shared" si="0"/>
        <v>7999998.3391999993</v>
      </c>
      <c r="P5" s="17" t="s">
        <v>328</v>
      </c>
    </row>
    <row r="6" spans="1:16" x14ac:dyDescent="0.3">
      <c r="A6" s="9" t="s">
        <v>402</v>
      </c>
      <c r="B6" s="10" t="s">
        <v>181</v>
      </c>
      <c r="C6" s="11" t="s">
        <v>448</v>
      </c>
      <c r="D6" s="12">
        <v>43990</v>
      </c>
      <c r="E6" s="12">
        <v>43991</v>
      </c>
      <c r="F6" s="13">
        <v>87724140</v>
      </c>
      <c r="G6" s="14">
        <v>87708173</v>
      </c>
      <c r="H6" s="9" t="s">
        <v>449</v>
      </c>
      <c r="I6" s="15">
        <v>800078360</v>
      </c>
      <c r="J6" s="16" t="s">
        <v>328</v>
      </c>
      <c r="K6" s="17">
        <v>75</v>
      </c>
      <c r="L6" s="18" t="s">
        <v>21</v>
      </c>
      <c r="M6" s="19">
        <v>150000</v>
      </c>
      <c r="N6" s="19">
        <f>M6*0.19</f>
        <v>28500</v>
      </c>
      <c r="O6" s="19">
        <f t="shared" si="0"/>
        <v>13387500</v>
      </c>
      <c r="P6" s="17" t="s">
        <v>328</v>
      </c>
    </row>
    <row r="7" spans="1:16" x14ac:dyDescent="0.3">
      <c r="A7" s="9" t="s">
        <v>558</v>
      </c>
      <c r="B7" s="10" t="s">
        <v>591</v>
      </c>
      <c r="C7" s="11" t="s">
        <v>592</v>
      </c>
      <c r="D7" s="12">
        <v>43985</v>
      </c>
      <c r="E7" s="12">
        <v>43985</v>
      </c>
      <c r="F7" s="13">
        <v>22580250</v>
      </c>
      <c r="G7" s="14">
        <v>0</v>
      </c>
      <c r="H7" s="9" t="s">
        <v>593</v>
      </c>
      <c r="I7" s="15">
        <v>1090509490</v>
      </c>
      <c r="J7" s="16" t="s">
        <v>594</v>
      </c>
      <c r="K7" s="17">
        <v>47</v>
      </c>
      <c r="L7" s="18" t="s">
        <v>21</v>
      </c>
      <c r="M7" s="19">
        <v>285000</v>
      </c>
      <c r="N7" s="19">
        <f t="shared" ref="N7:N8" si="2">M7*0.19</f>
        <v>54150</v>
      </c>
      <c r="O7" s="19">
        <f t="shared" si="0"/>
        <v>15940050</v>
      </c>
      <c r="P7" s="17" t="s">
        <v>328</v>
      </c>
    </row>
    <row r="8" spans="1:16" x14ac:dyDescent="0.3">
      <c r="A8" s="9" t="s">
        <v>558</v>
      </c>
      <c r="B8" s="10" t="s">
        <v>591</v>
      </c>
      <c r="C8" s="11" t="s">
        <v>592</v>
      </c>
      <c r="D8" s="12">
        <v>43985</v>
      </c>
      <c r="E8" s="12">
        <v>43985</v>
      </c>
      <c r="F8" s="13">
        <v>22580250</v>
      </c>
      <c r="G8" s="14">
        <v>0</v>
      </c>
      <c r="H8" s="9" t="s">
        <v>593</v>
      </c>
      <c r="I8" s="15">
        <v>1090509490</v>
      </c>
      <c r="J8" s="16" t="s">
        <v>595</v>
      </c>
      <c r="K8" s="17">
        <v>12</v>
      </c>
      <c r="L8" s="18" t="s">
        <v>21</v>
      </c>
      <c r="M8" s="19">
        <v>465000</v>
      </c>
      <c r="N8" s="19">
        <f t="shared" si="2"/>
        <v>88350</v>
      </c>
      <c r="O8" s="19">
        <f t="shared" si="0"/>
        <v>6640200</v>
      </c>
      <c r="P8" s="17" t="s">
        <v>328</v>
      </c>
    </row>
    <row r="9" spans="1:16" x14ac:dyDescent="0.3">
      <c r="A9" s="9" t="s">
        <v>1006</v>
      </c>
      <c r="B9" s="10" t="s">
        <v>1041</v>
      </c>
      <c r="C9" s="11" t="s">
        <v>1029</v>
      </c>
      <c r="D9" s="12">
        <v>43985</v>
      </c>
      <c r="E9" s="12">
        <v>43990</v>
      </c>
      <c r="F9" s="13">
        <v>11400000</v>
      </c>
      <c r="G9" s="14">
        <v>0</v>
      </c>
      <c r="H9" s="9" t="s">
        <v>1039</v>
      </c>
      <c r="I9" s="15">
        <v>900348560</v>
      </c>
      <c r="J9" s="16" t="s">
        <v>1903</v>
      </c>
      <c r="K9" s="17">
        <v>60</v>
      </c>
      <c r="L9" s="18" t="s">
        <v>21</v>
      </c>
      <c r="M9" s="19">
        <v>190000</v>
      </c>
      <c r="N9" s="19">
        <v>0</v>
      </c>
      <c r="O9" s="19">
        <f t="shared" si="0"/>
        <v>11400000</v>
      </c>
      <c r="P9" s="17" t="s">
        <v>328</v>
      </c>
    </row>
    <row r="10" spans="1:16" x14ac:dyDescent="0.3">
      <c r="A10" s="9" t="s">
        <v>1050</v>
      </c>
      <c r="B10" s="10" t="s">
        <v>1080</v>
      </c>
      <c r="C10" s="11" t="s">
        <v>1081</v>
      </c>
      <c r="D10" s="12">
        <v>43999</v>
      </c>
      <c r="E10" s="12">
        <v>43999</v>
      </c>
      <c r="F10" s="13">
        <v>18939000</v>
      </c>
      <c r="G10" s="14">
        <v>0</v>
      </c>
      <c r="H10" s="9" t="s">
        <v>1082</v>
      </c>
      <c r="I10" s="15">
        <v>900023386</v>
      </c>
      <c r="J10" s="16" t="s">
        <v>1905</v>
      </c>
      <c r="K10" s="17">
        <v>28</v>
      </c>
      <c r="L10" s="18" t="s">
        <v>327</v>
      </c>
      <c r="M10" s="19">
        <v>285000</v>
      </c>
      <c r="N10" s="19">
        <v>0</v>
      </c>
      <c r="O10" s="19">
        <f t="shared" si="0"/>
        <v>7980000</v>
      </c>
      <c r="P10" s="17" t="s">
        <v>328</v>
      </c>
    </row>
    <row r="11" spans="1:16" x14ac:dyDescent="0.3">
      <c r="A11" s="9" t="s">
        <v>1291</v>
      </c>
      <c r="B11" s="10">
        <v>61972</v>
      </c>
      <c r="C11" s="11" t="s">
        <v>2203</v>
      </c>
      <c r="D11" s="12">
        <v>44181</v>
      </c>
      <c r="E11" s="12">
        <v>44181</v>
      </c>
      <c r="F11" s="13">
        <v>5455000</v>
      </c>
      <c r="G11" s="14">
        <v>0</v>
      </c>
      <c r="H11" s="9" t="s">
        <v>2204</v>
      </c>
      <c r="I11" s="15">
        <v>901320101</v>
      </c>
      <c r="J11" s="16" t="s">
        <v>2205</v>
      </c>
      <c r="K11" s="17">
        <v>30</v>
      </c>
      <c r="L11" s="18" t="s">
        <v>21</v>
      </c>
      <c r="M11" s="19">
        <v>150000</v>
      </c>
      <c r="N11" s="19">
        <f>+M11*19%</f>
        <v>28500</v>
      </c>
      <c r="O11" s="19">
        <f t="shared" si="0"/>
        <v>5355000</v>
      </c>
      <c r="P11" s="17" t="s">
        <v>328</v>
      </c>
    </row>
    <row r="12" spans="1:16" x14ac:dyDescent="0.3">
      <c r="A12" s="9" t="s">
        <v>1306</v>
      </c>
      <c r="B12" s="10" t="s">
        <v>1316</v>
      </c>
      <c r="C12" s="11" t="s">
        <v>1317</v>
      </c>
      <c r="D12" s="12">
        <v>44005</v>
      </c>
      <c r="E12" s="12">
        <v>44005</v>
      </c>
      <c r="F12" s="13">
        <v>7000000</v>
      </c>
      <c r="G12" s="14">
        <v>0</v>
      </c>
      <c r="H12" s="9" t="s">
        <v>1318</v>
      </c>
      <c r="I12" s="15">
        <v>800165853</v>
      </c>
      <c r="J12" s="16" t="s">
        <v>328</v>
      </c>
      <c r="K12" s="17">
        <v>80</v>
      </c>
      <c r="L12" s="18" t="s">
        <v>21</v>
      </c>
      <c r="M12" s="19">
        <v>40500</v>
      </c>
      <c r="N12" s="19">
        <v>0</v>
      </c>
      <c r="O12" s="19">
        <f t="shared" si="0"/>
        <v>3240000</v>
      </c>
      <c r="P12" s="17" t="s">
        <v>328</v>
      </c>
    </row>
    <row r="13" spans="1:16" x14ac:dyDescent="0.3">
      <c r="A13" s="9" t="s">
        <v>1437</v>
      </c>
      <c r="B13" s="10" t="s">
        <v>2077</v>
      </c>
      <c r="C13" s="11" t="s">
        <v>1827</v>
      </c>
      <c r="D13" s="12">
        <v>44172</v>
      </c>
      <c r="E13" s="12">
        <v>44172</v>
      </c>
      <c r="F13" s="13">
        <v>8124286</v>
      </c>
      <c r="G13" s="14">
        <v>0</v>
      </c>
      <c r="H13" s="9" t="s">
        <v>1469</v>
      </c>
      <c r="I13" s="15" t="s">
        <v>1470</v>
      </c>
      <c r="J13" s="16" t="s">
        <v>1471</v>
      </c>
      <c r="K13" s="17">
        <v>100</v>
      </c>
      <c r="L13" s="18" t="s">
        <v>21</v>
      </c>
      <c r="M13" s="19">
        <v>68271.310924369755</v>
      </c>
      <c r="N13" s="19">
        <f t="shared" ref="N13" si="3">M13*0.19</f>
        <v>12971.549075630253</v>
      </c>
      <c r="O13" s="19">
        <f t="shared" si="0"/>
        <v>8124286.0000000019</v>
      </c>
      <c r="P13" s="17" t="s">
        <v>328</v>
      </c>
    </row>
    <row r="14" spans="1:16" x14ac:dyDescent="0.3">
      <c r="A14" s="9" t="s">
        <v>1472</v>
      </c>
      <c r="B14" s="10" t="s">
        <v>1496</v>
      </c>
      <c r="C14" s="11" t="s">
        <v>1497</v>
      </c>
      <c r="D14" s="12">
        <v>43979</v>
      </c>
      <c r="E14" s="12">
        <v>43980</v>
      </c>
      <c r="F14" s="13">
        <v>12842000</v>
      </c>
      <c r="G14" s="14">
        <v>0</v>
      </c>
      <c r="H14" s="9" t="s">
        <v>1498</v>
      </c>
      <c r="I14" s="15">
        <v>900151140</v>
      </c>
      <c r="J14" s="16" t="s">
        <v>1499</v>
      </c>
      <c r="K14" s="17">
        <v>23</v>
      </c>
      <c r="L14" s="18" t="s">
        <v>327</v>
      </c>
      <c r="M14" s="19">
        <v>325000</v>
      </c>
      <c r="N14" s="19">
        <v>0</v>
      </c>
      <c r="O14" s="19">
        <f t="shared" si="0"/>
        <v>7475000</v>
      </c>
      <c r="P14" s="17" t="s">
        <v>328</v>
      </c>
    </row>
    <row r="15" spans="1:16" x14ac:dyDescent="0.3">
      <c r="A15" s="9" t="s">
        <v>1472</v>
      </c>
      <c r="B15" s="10" t="s">
        <v>1496</v>
      </c>
      <c r="C15" s="11" t="s">
        <v>1497</v>
      </c>
      <c r="D15" s="12">
        <v>43979</v>
      </c>
      <c r="E15" s="12">
        <v>43980</v>
      </c>
      <c r="F15" s="13">
        <v>12842000</v>
      </c>
      <c r="G15" s="14">
        <v>0</v>
      </c>
      <c r="H15" s="9" t="s">
        <v>1498</v>
      </c>
      <c r="I15" s="15">
        <v>900151140</v>
      </c>
      <c r="J15" s="16" t="s">
        <v>1500</v>
      </c>
      <c r="K15" s="17">
        <v>6</v>
      </c>
      <c r="L15" s="18" t="s">
        <v>327</v>
      </c>
      <c r="M15" s="19">
        <v>532000</v>
      </c>
      <c r="N15" s="19">
        <v>0</v>
      </c>
      <c r="O15" s="19">
        <f t="shared" si="0"/>
        <v>3192000</v>
      </c>
      <c r="P15" s="17" t="s">
        <v>328</v>
      </c>
    </row>
  </sheetData>
  <dataValidations count="13">
    <dataValidation type="date" allowBlank="1" showInputMessage="1" errorTitle="Entrada no válida" error="Por favor escriba una fecha válida (AAAA/MM/DD)" promptTitle="Ingrese una fecha (AAAA/MM/DD)" prompt=" Registre la fecha en la cual se SUSCRIBIÓ el contrato  (Formato AAAA/MM/DD)." sqref="D5:D7 D13:D15">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5:E7 E12:E15">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11 A5:A7 A14:A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5:B7 B13:B15">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6 F13: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6:I7 I15">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6:H8 H13:H15">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8:E10">
      <formula1>1900/1/1</formula1>
      <formula2>3000/1/1</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7:I8 I13:I14">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A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8">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3:G15">
      <formula1>-9223372036854770000</formula1>
      <formula2>9223372036854770000</formula2>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election sqref="A1:P37"/>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130</v>
      </c>
      <c r="C2" s="11" t="s">
        <v>1757</v>
      </c>
      <c r="D2" s="12">
        <v>44169</v>
      </c>
      <c r="E2" s="12">
        <v>44176</v>
      </c>
      <c r="F2" s="26">
        <v>2000000</v>
      </c>
      <c r="G2" s="27">
        <v>0</v>
      </c>
      <c r="H2" s="9" t="s">
        <v>131</v>
      </c>
      <c r="I2" s="15">
        <v>900306905</v>
      </c>
      <c r="J2" s="16" t="s">
        <v>132</v>
      </c>
      <c r="K2" s="17">
        <v>25</v>
      </c>
      <c r="L2" s="18" t="s">
        <v>21</v>
      </c>
      <c r="M2" s="19">
        <v>80000</v>
      </c>
      <c r="N2" s="19">
        <v>0</v>
      </c>
      <c r="O2" s="19">
        <f t="shared" ref="O2:O37" si="0">K2*(M2+N2)</f>
        <v>2000000</v>
      </c>
      <c r="P2" s="17" t="s">
        <v>185</v>
      </c>
    </row>
    <row r="3" spans="1:16" x14ac:dyDescent="0.3">
      <c r="A3" s="9" t="s">
        <v>138</v>
      </c>
      <c r="B3" s="10" t="s">
        <v>181</v>
      </c>
      <c r="C3" s="28" t="s">
        <v>182</v>
      </c>
      <c r="D3" s="12">
        <v>43984</v>
      </c>
      <c r="E3" s="12">
        <v>43984</v>
      </c>
      <c r="F3" s="13">
        <v>12960000</v>
      </c>
      <c r="G3" s="14">
        <v>0</v>
      </c>
      <c r="H3" s="9" t="s">
        <v>183</v>
      </c>
      <c r="I3" s="15">
        <v>900616935</v>
      </c>
      <c r="J3" s="16" t="s">
        <v>184</v>
      </c>
      <c r="K3" s="17">
        <v>12</v>
      </c>
      <c r="L3" s="29" t="s">
        <v>21</v>
      </c>
      <c r="M3" s="19">
        <v>330000</v>
      </c>
      <c r="N3" s="19">
        <v>0</v>
      </c>
      <c r="O3" s="19">
        <f t="shared" si="0"/>
        <v>3960000</v>
      </c>
      <c r="P3" s="17" t="s">
        <v>185</v>
      </c>
    </row>
    <row r="4" spans="1:16" x14ac:dyDescent="0.3">
      <c r="A4" s="9" t="s">
        <v>196</v>
      </c>
      <c r="B4" s="10" t="s">
        <v>240</v>
      </c>
      <c r="C4" s="11" t="s">
        <v>241</v>
      </c>
      <c r="D4" s="12">
        <v>44009</v>
      </c>
      <c r="E4" s="12">
        <v>44013</v>
      </c>
      <c r="F4" s="13">
        <v>11940000</v>
      </c>
      <c r="G4" s="14">
        <v>0</v>
      </c>
      <c r="H4" s="9" t="s">
        <v>242</v>
      </c>
      <c r="I4" s="15">
        <v>900934702</v>
      </c>
      <c r="J4" s="16" t="s">
        <v>1750</v>
      </c>
      <c r="K4" s="17">
        <v>60</v>
      </c>
      <c r="L4" s="18" t="s">
        <v>21</v>
      </c>
      <c r="M4" s="19">
        <v>199000</v>
      </c>
      <c r="N4" s="19">
        <v>0</v>
      </c>
      <c r="O4" s="19">
        <f t="shared" si="0"/>
        <v>11940000</v>
      </c>
      <c r="P4" s="17" t="s">
        <v>185</v>
      </c>
    </row>
    <row r="5" spans="1:16" x14ac:dyDescent="0.3">
      <c r="A5" s="9" t="s">
        <v>196</v>
      </c>
      <c r="B5" s="10" t="s">
        <v>2009</v>
      </c>
      <c r="C5" s="11" t="s">
        <v>1775</v>
      </c>
      <c r="D5" s="12">
        <v>44172</v>
      </c>
      <c r="E5" s="12">
        <v>44172</v>
      </c>
      <c r="F5" s="13">
        <v>2025000</v>
      </c>
      <c r="G5" s="14">
        <v>0</v>
      </c>
      <c r="H5" s="9" t="s">
        <v>280</v>
      </c>
      <c r="I5" s="15">
        <v>900505419</v>
      </c>
      <c r="J5" s="16" t="s">
        <v>1857</v>
      </c>
      <c r="K5" s="17">
        <v>45</v>
      </c>
      <c r="L5" s="18" t="s">
        <v>261</v>
      </c>
      <c r="M5" s="19">
        <v>45000</v>
      </c>
      <c r="N5" s="19">
        <v>0</v>
      </c>
      <c r="O5" s="19">
        <f t="shared" si="0"/>
        <v>2025000</v>
      </c>
      <c r="P5" s="17" t="s">
        <v>185</v>
      </c>
    </row>
    <row r="6" spans="1:16" x14ac:dyDescent="0.3">
      <c r="A6" s="9" t="s">
        <v>284</v>
      </c>
      <c r="B6" s="10" t="s">
        <v>304</v>
      </c>
      <c r="C6" s="11" t="s">
        <v>305</v>
      </c>
      <c r="D6" s="12">
        <v>43958</v>
      </c>
      <c r="E6" s="12">
        <v>43958</v>
      </c>
      <c r="F6" s="13">
        <v>17825000</v>
      </c>
      <c r="G6" s="14">
        <v>0</v>
      </c>
      <c r="H6" s="9" t="s">
        <v>306</v>
      </c>
      <c r="I6" s="15">
        <v>900017447</v>
      </c>
      <c r="J6" s="16" t="s">
        <v>307</v>
      </c>
      <c r="K6" s="17">
        <v>31</v>
      </c>
      <c r="L6" s="18" t="s">
        <v>21</v>
      </c>
      <c r="M6" s="19">
        <v>575000</v>
      </c>
      <c r="N6" s="19">
        <v>0</v>
      </c>
      <c r="O6" s="19">
        <f t="shared" si="0"/>
        <v>17825000</v>
      </c>
      <c r="P6" s="17" t="s">
        <v>185</v>
      </c>
    </row>
    <row r="7" spans="1:16" x14ac:dyDescent="0.3">
      <c r="A7" s="9" t="s">
        <v>402</v>
      </c>
      <c r="B7" s="10" t="s">
        <v>417</v>
      </c>
      <c r="C7" s="11" t="s">
        <v>418</v>
      </c>
      <c r="D7" s="12">
        <v>43958</v>
      </c>
      <c r="E7" s="12">
        <v>43958</v>
      </c>
      <c r="F7" s="13">
        <v>11615000</v>
      </c>
      <c r="G7" s="14">
        <v>0</v>
      </c>
      <c r="H7" s="9" t="s">
        <v>419</v>
      </c>
      <c r="I7" s="15">
        <v>900017447</v>
      </c>
      <c r="J7" s="16" t="s">
        <v>420</v>
      </c>
      <c r="K7" s="17">
        <v>20</v>
      </c>
      <c r="L7" s="18" t="s">
        <v>21</v>
      </c>
      <c r="M7" s="19">
        <v>580750</v>
      </c>
      <c r="N7" s="19">
        <v>0</v>
      </c>
      <c r="O7" s="19">
        <f t="shared" si="0"/>
        <v>11615000</v>
      </c>
      <c r="P7" s="17" t="s">
        <v>185</v>
      </c>
    </row>
    <row r="8" spans="1:16" x14ac:dyDescent="0.3">
      <c r="A8" s="9" t="s">
        <v>402</v>
      </c>
      <c r="B8" s="10" t="s">
        <v>192</v>
      </c>
      <c r="C8" s="11" t="s">
        <v>458</v>
      </c>
      <c r="D8" s="12">
        <v>44018</v>
      </c>
      <c r="E8" s="12">
        <v>44020</v>
      </c>
      <c r="F8" s="13">
        <v>13711200</v>
      </c>
      <c r="G8" s="14">
        <v>0</v>
      </c>
      <c r="H8" s="9" t="s">
        <v>459</v>
      </c>
      <c r="I8" s="15">
        <v>830501019</v>
      </c>
      <c r="J8" s="16" t="s">
        <v>461</v>
      </c>
      <c r="K8" s="17">
        <v>50</v>
      </c>
      <c r="L8" s="18" t="s">
        <v>21</v>
      </c>
      <c r="M8" s="19">
        <v>120000</v>
      </c>
      <c r="N8" s="19">
        <v>0</v>
      </c>
      <c r="O8" s="19">
        <f t="shared" si="0"/>
        <v>6000000</v>
      </c>
      <c r="P8" s="17" t="s">
        <v>185</v>
      </c>
    </row>
    <row r="9" spans="1:16" x14ac:dyDescent="0.3">
      <c r="A9" s="9" t="s">
        <v>402</v>
      </c>
      <c r="B9" t="s">
        <v>469</v>
      </c>
      <c r="C9" t="s">
        <v>470</v>
      </c>
      <c r="D9" s="12">
        <v>44175</v>
      </c>
      <c r="E9" s="12">
        <v>44186</v>
      </c>
      <c r="F9" s="13">
        <v>44652978</v>
      </c>
      <c r="G9" s="14">
        <v>0</v>
      </c>
      <c r="H9" s="9" t="s">
        <v>459</v>
      </c>
      <c r="I9" s="15">
        <v>830501019</v>
      </c>
      <c r="J9" s="16" t="s">
        <v>461</v>
      </c>
      <c r="K9" s="17">
        <v>30</v>
      </c>
      <c r="L9" s="18" t="s">
        <v>21</v>
      </c>
      <c r="M9" s="19">
        <v>55000</v>
      </c>
      <c r="N9" s="19">
        <v>0</v>
      </c>
      <c r="O9" s="19">
        <f t="shared" si="0"/>
        <v>1650000</v>
      </c>
      <c r="P9" s="17" t="s">
        <v>185</v>
      </c>
    </row>
    <row r="10" spans="1:16" x14ac:dyDescent="0.3">
      <c r="A10" s="9" t="s">
        <v>472</v>
      </c>
      <c r="B10" s="10" t="s">
        <v>484</v>
      </c>
      <c r="C10" s="11" t="s">
        <v>485</v>
      </c>
      <c r="D10" s="12">
        <v>43966</v>
      </c>
      <c r="E10" s="12">
        <v>43969</v>
      </c>
      <c r="F10" s="13">
        <v>27782000</v>
      </c>
      <c r="G10" s="14">
        <v>0</v>
      </c>
      <c r="H10" s="9" t="s">
        <v>486</v>
      </c>
      <c r="I10" s="15">
        <v>900881350</v>
      </c>
      <c r="J10" s="16" t="s">
        <v>487</v>
      </c>
      <c r="K10" s="17">
        <v>11</v>
      </c>
      <c r="L10" s="18" t="s">
        <v>21</v>
      </c>
      <c r="M10" s="19">
        <v>430000</v>
      </c>
      <c r="N10" s="19">
        <v>0</v>
      </c>
      <c r="O10" s="19">
        <f t="shared" si="0"/>
        <v>4730000</v>
      </c>
      <c r="P10" s="17" t="s">
        <v>185</v>
      </c>
    </row>
    <row r="11" spans="1:16" x14ac:dyDescent="0.3">
      <c r="A11" s="9" t="s">
        <v>558</v>
      </c>
      <c r="B11" s="10" t="s">
        <v>571</v>
      </c>
      <c r="C11" s="11" t="s">
        <v>572</v>
      </c>
      <c r="D11" s="12">
        <v>43945</v>
      </c>
      <c r="E11" s="12">
        <v>43945</v>
      </c>
      <c r="F11" s="13">
        <v>37196160</v>
      </c>
      <c r="G11" s="14">
        <v>0</v>
      </c>
      <c r="H11" s="9" t="s">
        <v>332</v>
      </c>
      <c r="I11" s="15">
        <v>800037946</v>
      </c>
      <c r="J11" s="16" t="s">
        <v>574</v>
      </c>
      <c r="K11" s="17">
        <v>18</v>
      </c>
      <c r="L11" s="18" t="s">
        <v>21</v>
      </c>
      <c r="M11" s="19">
        <v>631600</v>
      </c>
      <c r="N11" s="19">
        <v>0</v>
      </c>
      <c r="O11" s="19">
        <f t="shared" si="0"/>
        <v>11368800</v>
      </c>
      <c r="P11" s="17" t="s">
        <v>185</v>
      </c>
    </row>
    <row r="12" spans="1:16" x14ac:dyDescent="0.3">
      <c r="A12" s="9" t="s">
        <v>558</v>
      </c>
      <c r="B12" s="10" t="s">
        <v>581</v>
      </c>
      <c r="C12" s="11" t="s">
        <v>582</v>
      </c>
      <c r="D12" s="12">
        <v>43973</v>
      </c>
      <c r="E12" s="12">
        <v>43977</v>
      </c>
      <c r="F12" s="13">
        <v>13770000</v>
      </c>
      <c r="G12" s="14">
        <v>0</v>
      </c>
      <c r="H12" s="9" t="s">
        <v>583</v>
      </c>
      <c r="I12" s="15">
        <v>900745087</v>
      </c>
      <c r="J12" s="16" t="s">
        <v>584</v>
      </c>
      <c r="K12" s="17">
        <v>51</v>
      </c>
      <c r="L12" s="18" t="s">
        <v>21</v>
      </c>
      <c r="M12" s="19">
        <v>270000</v>
      </c>
      <c r="N12" s="19">
        <v>0</v>
      </c>
      <c r="O12" s="19">
        <f t="shared" si="0"/>
        <v>13770000</v>
      </c>
      <c r="P12" s="17" t="s">
        <v>185</v>
      </c>
    </row>
    <row r="13" spans="1:16" x14ac:dyDescent="0.3">
      <c r="A13" s="9" t="s">
        <v>558</v>
      </c>
      <c r="B13" s="10" t="s">
        <v>2021</v>
      </c>
      <c r="C13" s="28" t="s">
        <v>638</v>
      </c>
      <c r="D13" s="12">
        <v>44126</v>
      </c>
      <c r="E13" s="12">
        <v>44126</v>
      </c>
      <c r="F13" s="13">
        <v>2773305</v>
      </c>
      <c r="G13" s="14">
        <v>0</v>
      </c>
      <c r="H13" s="9" t="s">
        <v>172</v>
      </c>
      <c r="I13" s="15" t="s">
        <v>639</v>
      </c>
      <c r="J13" s="16" t="s">
        <v>185</v>
      </c>
      <c r="K13" s="17">
        <v>15</v>
      </c>
      <c r="L13" s="18" t="s">
        <v>21</v>
      </c>
      <c r="M13" s="19">
        <v>184887</v>
      </c>
      <c r="N13" s="19">
        <v>0</v>
      </c>
      <c r="O13" s="19">
        <f t="shared" si="0"/>
        <v>2773305</v>
      </c>
      <c r="P13" s="17" t="s">
        <v>185</v>
      </c>
    </row>
    <row r="14" spans="1:16" x14ac:dyDescent="0.3">
      <c r="A14" s="9" t="s">
        <v>558</v>
      </c>
      <c r="B14" s="10" t="s">
        <v>2024</v>
      </c>
      <c r="C14" s="28" t="s">
        <v>644</v>
      </c>
      <c r="D14" s="12">
        <v>44161</v>
      </c>
      <c r="E14" s="12">
        <v>44161</v>
      </c>
      <c r="F14" s="13">
        <v>1800000</v>
      </c>
      <c r="G14" s="14">
        <v>0</v>
      </c>
      <c r="H14" s="9" t="s">
        <v>419</v>
      </c>
      <c r="I14" s="15">
        <v>900017447</v>
      </c>
      <c r="J14" s="16" t="s">
        <v>185</v>
      </c>
      <c r="K14" s="17">
        <v>18</v>
      </c>
      <c r="L14" s="18" t="s">
        <v>21</v>
      </c>
      <c r="M14" s="19">
        <v>100000</v>
      </c>
      <c r="N14" s="19">
        <v>0</v>
      </c>
      <c r="O14" s="19">
        <f t="shared" si="0"/>
        <v>1800000</v>
      </c>
      <c r="P14" s="17" t="s">
        <v>185</v>
      </c>
    </row>
    <row r="15" spans="1:16" x14ac:dyDescent="0.3">
      <c r="A15" s="9" t="s">
        <v>657</v>
      </c>
      <c r="B15" s="10" t="s">
        <v>662</v>
      </c>
      <c r="C15" s="11" t="s">
        <v>663</v>
      </c>
      <c r="D15" s="12">
        <v>43963</v>
      </c>
      <c r="E15" s="12">
        <v>43963</v>
      </c>
      <c r="F15" s="13">
        <v>166018725</v>
      </c>
      <c r="G15" s="14">
        <v>0</v>
      </c>
      <c r="H15" s="9" t="s">
        <v>660</v>
      </c>
      <c r="I15" s="15">
        <v>813005241</v>
      </c>
      <c r="J15" s="16" t="s">
        <v>668</v>
      </c>
      <c r="K15" s="17">
        <v>15</v>
      </c>
      <c r="L15" s="18" t="s">
        <v>21</v>
      </c>
      <c r="M15" s="19">
        <v>380000</v>
      </c>
      <c r="N15" s="19">
        <v>0</v>
      </c>
      <c r="O15" s="19">
        <f t="shared" si="0"/>
        <v>5700000</v>
      </c>
      <c r="P15" s="17" t="s">
        <v>185</v>
      </c>
    </row>
    <row r="16" spans="1:16" x14ac:dyDescent="0.3">
      <c r="A16" s="9" t="s">
        <v>657</v>
      </c>
      <c r="B16" s="10" t="s">
        <v>2034</v>
      </c>
      <c r="C16" s="11" t="s">
        <v>1797</v>
      </c>
      <c r="D16" s="12">
        <v>44159</v>
      </c>
      <c r="E16" s="12">
        <v>44159</v>
      </c>
      <c r="F16" s="13">
        <v>2187000</v>
      </c>
      <c r="G16" s="14">
        <v>0</v>
      </c>
      <c r="H16" s="9" t="s">
        <v>689</v>
      </c>
      <c r="I16" s="15">
        <v>52223268</v>
      </c>
      <c r="J16" s="16" t="s">
        <v>668</v>
      </c>
      <c r="K16" s="17">
        <v>55</v>
      </c>
      <c r="L16" s="18" t="s">
        <v>21</v>
      </c>
      <c r="M16" s="19">
        <v>37200</v>
      </c>
      <c r="N16" s="19">
        <v>0</v>
      </c>
      <c r="O16" s="19">
        <f t="shared" si="0"/>
        <v>2046000</v>
      </c>
      <c r="P16" s="17" t="s">
        <v>185</v>
      </c>
    </row>
    <row r="17" spans="1:16" x14ac:dyDescent="0.3">
      <c r="A17" s="9" t="s">
        <v>690</v>
      </c>
      <c r="B17" s="10" t="s">
        <v>2044</v>
      </c>
      <c r="C17" s="11" t="s">
        <v>768</v>
      </c>
      <c r="D17" s="12">
        <v>44012</v>
      </c>
      <c r="E17" s="12">
        <v>44012</v>
      </c>
      <c r="F17" s="13">
        <v>780000</v>
      </c>
      <c r="G17" s="14">
        <v>0</v>
      </c>
      <c r="H17" s="9" t="s">
        <v>769</v>
      </c>
      <c r="I17" s="15">
        <v>900724561</v>
      </c>
      <c r="J17" s="16" t="s">
        <v>768</v>
      </c>
      <c r="K17" s="17">
        <v>6</v>
      </c>
      <c r="L17" s="18" t="s">
        <v>21</v>
      </c>
      <c r="M17" s="19">
        <v>130000</v>
      </c>
      <c r="N17" s="19">
        <v>0</v>
      </c>
      <c r="O17" s="19">
        <f t="shared" si="0"/>
        <v>780000</v>
      </c>
      <c r="P17" s="17" t="s">
        <v>185</v>
      </c>
    </row>
    <row r="18" spans="1:16" x14ac:dyDescent="0.3">
      <c r="A18" s="33" t="s">
        <v>690</v>
      </c>
      <c r="B18" s="33" t="s">
        <v>808</v>
      </c>
      <c r="C18" s="33" t="s">
        <v>1815</v>
      </c>
      <c r="D18" s="34">
        <v>44186</v>
      </c>
      <c r="E18" s="34">
        <v>44186</v>
      </c>
      <c r="F18" s="35">
        <v>1120000</v>
      </c>
      <c r="G18" s="14">
        <v>0</v>
      </c>
      <c r="H18" s="33" t="s">
        <v>280</v>
      </c>
      <c r="I18" s="36">
        <v>900505419</v>
      </c>
      <c r="J18" s="33" t="s">
        <v>1815</v>
      </c>
      <c r="K18" s="17">
        <v>22</v>
      </c>
      <c r="L18" s="40" t="s">
        <v>21</v>
      </c>
      <c r="M18" s="19">
        <v>45000</v>
      </c>
      <c r="N18" s="19">
        <v>0</v>
      </c>
      <c r="O18" s="19">
        <f t="shared" si="0"/>
        <v>990000</v>
      </c>
      <c r="P18" s="17" t="s">
        <v>185</v>
      </c>
    </row>
    <row r="19" spans="1:16" x14ac:dyDescent="0.3">
      <c r="A19" s="9" t="s">
        <v>809</v>
      </c>
      <c r="B19" s="10" t="s">
        <v>818</v>
      </c>
      <c r="C19" s="11" t="s">
        <v>819</v>
      </c>
      <c r="D19" s="12">
        <v>43958</v>
      </c>
      <c r="E19" s="12">
        <v>43962</v>
      </c>
      <c r="F19" s="13">
        <v>0</v>
      </c>
      <c r="G19" s="14">
        <v>11965845</v>
      </c>
      <c r="H19" s="9" t="s">
        <v>820</v>
      </c>
      <c r="I19" s="15">
        <v>800147520</v>
      </c>
      <c r="J19" s="16" t="s">
        <v>821</v>
      </c>
      <c r="K19" s="17">
        <v>38</v>
      </c>
      <c r="L19" s="18" t="s">
        <v>21</v>
      </c>
      <c r="M19" s="19">
        <v>300000</v>
      </c>
      <c r="N19" s="19">
        <v>0</v>
      </c>
      <c r="O19" s="19">
        <f t="shared" si="0"/>
        <v>11400000</v>
      </c>
      <c r="P19" s="17" t="s">
        <v>185</v>
      </c>
    </row>
    <row r="20" spans="1:16" x14ac:dyDescent="0.3">
      <c r="A20" s="9" t="s">
        <v>809</v>
      </c>
      <c r="B20" s="10" t="s">
        <v>818</v>
      </c>
      <c r="C20" s="11" t="s">
        <v>819</v>
      </c>
      <c r="D20" s="12">
        <v>43958</v>
      </c>
      <c r="E20" s="12">
        <v>43962</v>
      </c>
      <c r="F20" s="13">
        <v>3898952</v>
      </c>
      <c r="G20" s="14">
        <v>0</v>
      </c>
      <c r="H20" s="9" t="s">
        <v>820</v>
      </c>
      <c r="I20" s="15">
        <v>800147520</v>
      </c>
      <c r="J20" s="16" t="s">
        <v>852</v>
      </c>
      <c r="K20" s="17">
        <v>12</v>
      </c>
      <c r="L20" s="18" t="s">
        <v>21</v>
      </c>
      <c r="M20" s="19">
        <v>300000</v>
      </c>
      <c r="N20" s="19">
        <v>0</v>
      </c>
      <c r="O20" s="19">
        <f t="shared" si="0"/>
        <v>3600000</v>
      </c>
      <c r="P20" s="17" t="s">
        <v>185</v>
      </c>
    </row>
    <row r="21" spans="1:16" x14ac:dyDescent="0.3">
      <c r="A21" s="9" t="s">
        <v>861</v>
      </c>
      <c r="B21" s="10" t="s">
        <v>914</v>
      </c>
      <c r="C21" s="11" t="s">
        <v>915</v>
      </c>
      <c r="D21" s="12">
        <v>43986</v>
      </c>
      <c r="E21" s="12">
        <v>43986</v>
      </c>
      <c r="F21" s="13">
        <v>39927000</v>
      </c>
      <c r="G21" s="14">
        <v>0</v>
      </c>
      <c r="H21" s="9" t="s">
        <v>916</v>
      </c>
      <c r="I21" s="15">
        <v>901031972</v>
      </c>
      <c r="J21" s="16" t="s">
        <v>920</v>
      </c>
      <c r="K21" s="17">
        <v>30</v>
      </c>
      <c r="L21" s="18" t="s">
        <v>21</v>
      </c>
      <c r="M21" s="19">
        <v>385000</v>
      </c>
      <c r="N21" s="19">
        <v>0</v>
      </c>
      <c r="O21" s="19">
        <f t="shared" si="0"/>
        <v>11550000</v>
      </c>
      <c r="P21" s="17" t="s">
        <v>185</v>
      </c>
    </row>
    <row r="22" spans="1:16" x14ac:dyDescent="0.3">
      <c r="A22" s="9" t="s">
        <v>1006</v>
      </c>
      <c r="B22" s="10" t="s">
        <v>1021</v>
      </c>
      <c r="C22" s="11" t="s">
        <v>1022</v>
      </c>
      <c r="D22" s="12">
        <v>43971</v>
      </c>
      <c r="E22" s="12">
        <v>43978</v>
      </c>
      <c r="F22" s="13">
        <v>38340000</v>
      </c>
      <c r="G22" s="14">
        <v>0</v>
      </c>
      <c r="H22" s="9" t="s">
        <v>1009</v>
      </c>
      <c r="I22" s="15">
        <v>813005241</v>
      </c>
      <c r="J22" s="16" t="s">
        <v>1023</v>
      </c>
      <c r="K22" s="17">
        <v>8</v>
      </c>
      <c r="L22" s="18" t="s">
        <v>21</v>
      </c>
      <c r="M22" s="19">
        <v>360000</v>
      </c>
      <c r="N22" s="19">
        <v>0</v>
      </c>
      <c r="O22" s="19">
        <f t="shared" si="0"/>
        <v>2880000</v>
      </c>
      <c r="P22" s="17" t="s">
        <v>185</v>
      </c>
    </row>
    <row r="23" spans="1:16" x14ac:dyDescent="0.3">
      <c r="A23" s="9" t="s">
        <v>1006</v>
      </c>
      <c r="B23" s="10" t="s">
        <v>1021</v>
      </c>
      <c r="C23" s="11" t="s">
        <v>1022</v>
      </c>
      <c r="D23" s="12">
        <v>43971</v>
      </c>
      <c r="E23" s="12">
        <v>43978</v>
      </c>
      <c r="F23" s="13">
        <v>38340000</v>
      </c>
      <c r="G23" s="14">
        <v>0</v>
      </c>
      <c r="H23" s="9" t="s">
        <v>1009</v>
      </c>
      <c r="I23" s="15">
        <v>813005241</v>
      </c>
      <c r="J23" s="16" t="s">
        <v>1886</v>
      </c>
      <c r="K23" s="17">
        <v>7</v>
      </c>
      <c r="L23" s="18" t="s">
        <v>21</v>
      </c>
      <c r="M23" s="19">
        <v>1300000</v>
      </c>
      <c r="N23" s="19">
        <v>0</v>
      </c>
      <c r="O23" s="19">
        <f t="shared" si="0"/>
        <v>9100000</v>
      </c>
      <c r="P23" s="17" t="s">
        <v>185</v>
      </c>
    </row>
    <row r="24" spans="1:16" x14ac:dyDescent="0.3">
      <c r="A24" s="9" t="s">
        <v>1006</v>
      </c>
      <c r="B24" s="10" t="s">
        <v>1042</v>
      </c>
      <c r="C24" s="11" t="s">
        <v>1043</v>
      </c>
      <c r="D24" s="12">
        <v>43991</v>
      </c>
      <c r="E24" s="12">
        <v>43998</v>
      </c>
      <c r="F24" s="13">
        <v>15750000</v>
      </c>
      <c r="G24" s="14">
        <v>0</v>
      </c>
      <c r="H24" s="9" t="s">
        <v>1044</v>
      </c>
      <c r="I24" s="15">
        <v>800213675</v>
      </c>
      <c r="J24" s="16" t="s">
        <v>1904</v>
      </c>
      <c r="K24" s="17">
        <v>50</v>
      </c>
      <c r="L24" s="18" t="s">
        <v>21</v>
      </c>
      <c r="M24" s="19">
        <v>315000</v>
      </c>
      <c r="N24" s="19">
        <v>0</v>
      </c>
      <c r="O24" s="19">
        <f t="shared" si="0"/>
        <v>15750000</v>
      </c>
      <c r="P24" s="17" t="s">
        <v>185</v>
      </c>
    </row>
    <row r="25" spans="1:16" x14ac:dyDescent="0.3">
      <c r="A25" s="9" t="s">
        <v>1050</v>
      </c>
      <c r="B25" s="10" t="s">
        <v>1074</v>
      </c>
      <c r="C25" s="11" t="s">
        <v>1072</v>
      </c>
      <c r="D25" s="12">
        <v>43985</v>
      </c>
      <c r="E25" s="12">
        <v>43986</v>
      </c>
      <c r="F25" s="13">
        <v>44570660</v>
      </c>
      <c r="G25" s="14">
        <v>0</v>
      </c>
      <c r="H25" s="9" t="s">
        <v>1075</v>
      </c>
      <c r="I25" s="15">
        <v>900155107</v>
      </c>
      <c r="J25" s="16" t="s">
        <v>1079</v>
      </c>
      <c r="K25" s="17">
        <v>18</v>
      </c>
      <c r="L25" s="18" t="s">
        <v>21</v>
      </c>
      <c r="M25" s="19">
        <v>312500</v>
      </c>
      <c r="N25" s="19">
        <v>0</v>
      </c>
      <c r="O25" s="19">
        <f t="shared" si="0"/>
        <v>5625000</v>
      </c>
      <c r="P25" s="17" t="s">
        <v>185</v>
      </c>
    </row>
    <row r="26" spans="1:16" x14ac:dyDescent="0.3">
      <c r="A26" s="9" t="s">
        <v>1091</v>
      </c>
      <c r="B26" s="10" t="s">
        <v>1114</v>
      </c>
      <c r="C26" s="11" t="s">
        <v>1115</v>
      </c>
      <c r="D26" s="12">
        <v>43951</v>
      </c>
      <c r="E26" s="12">
        <v>43951</v>
      </c>
      <c r="F26" s="13">
        <v>634758</v>
      </c>
      <c r="G26" s="14">
        <v>0</v>
      </c>
      <c r="H26" s="9" t="s">
        <v>332</v>
      </c>
      <c r="I26" s="15">
        <v>830037946</v>
      </c>
      <c r="J26" s="16" t="s">
        <v>1116</v>
      </c>
      <c r="K26" s="17">
        <v>1</v>
      </c>
      <c r="L26" s="18" t="s">
        <v>21</v>
      </c>
      <c r="M26" s="19">
        <v>533410.08403361344</v>
      </c>
      <c r="N26" s="19">
        <f>M26*0.19</f>
        <v>101347.91596638656</v>
      </c>
      <c r="O26" s="19">
        <f t="shared" si="0"/>
        <v>634758</v>
      </c>
      <c r="P26" s="17" t="s">
        <v>185</v>
      </c>
    </row>
    <row r="27" spans="1:16" x14ac:dyDescent="0.3">
      <c r="A27" s="9" t="s">
        <v>1091</v>
      </c>
      <c r="B27" s="10" t="s">
        <v>1117</v>
      </c>
      <c r="C27" s="11" t="s">
        <v>1115</v>
      </c>
      <c r="D27" s="12">
        <v>43951</v>
      </c>
      <c r="E27" s="12">
        <v>43951</v>
      </c>
      <c r="F27" s="13">
        <v>3808548</v>
      </c>
      <c r="G27" s="14">
        <v>0</v>
      </c>
      <c r="H27" s="9" t="s">
        <v>332</v>
      </c>
      <c r="I27" s="15">
        <v>830037946</v>
      </c>
      <c r="J27" s="16" t="s">
        <v>1118</v>
      </c>
      <c r="K27" s="17">
        <v>6</v>
      </c>
      <c r="L27" s="18" t="s">
        <v>21</v>
      </c>
      <c r="M27" s="19">
        <v>533410.08403361344</v>
      </c>
      <c r="N27" s="19">
        <f>M27*0.19</f>
        <v>101347.91596638656</v>
      </c>
      <c r="O27" s="19">
        <f t="shared" si="0"/>
        <v>3808548</v>
      </c>
      <c r="P27" s="17" t="s">
        <v>185</v>
      </c>
    </row>
    <row r="28" spans="1:16" x14ac:dyDescent="0.3">
      <c r="A28" s="9" t="s">
        <v>1091</v>
      </c>
      <c r="B28" s="10" t="s">
        <v>1133</v>
      </c>
      <c r="C28" s="11" t="s">
        <v>1134</v>
      </c>
      <c r="D28" s="12">
        <v>43979</v>
      </c>
      <c r="E28" s="12">
        <v>43979</v>
      </c>
      <c r="F28" s="13">
        <v>10854000</v>
      </c>
      <c r="G28" s="14">
        <v>0</v>
      </c>
      <c r="H28" s="9" t="s">
        <v>332</v>
      </c>
      <c r="I28" s="15">
        <v>830037946</v>
      </c>
      <c r="J28" s="16" t="s">
        <v>1135</v>
      </c>
      <c r="K28" s="17">
        <v>18</v>
      </c>
      <c r="L28" s="18" t="s">
        <v>21</v>
      </c>
      <c r="M28" s="19">
        <v>506722.68907563027</v>
      </c>
      <c r="N28" s="19">
        <f>M28*0.19</f>
        <v>96277.310924369755</v>
      </c>
      <c r="O28" s="19">
        <f t="shared" si="0"/>
        <v>10854000</v>
      </c>
      <c r="P28" s="17" t="s">
        <v>185</v>
      </c>
    </row>
    <row r="29" spans="1:16" x14ac:dyDescent="0.3">
      <c r="A29" s="9" t="s">
        <v>1091</v>
      </c>
      <c r="B29" s="10" t="s">
        <v>1262</v>
      </c>
      <c r="C29" s="11" t="s">
        <v>1263</v>
      </c>
      <c r="D29" s="12">
        <v>44139</v>
      </c>
      <c r="E29" s="12">
        <v>44139</v>
      </c>
      <c r="F29" s="13">
        <v>4271356</v>
      </c>
      <c r="G29" s="14">
        <v>0</v>
      </c>
      <c r="H29" s="9" t="s">
        <v>1264</v>
      </c>
      <c r="I29" s="15">
        <v>900932726</v>
      </c>
      <c r="J29" s="16" t="s">
        <v>1265</v>
      </c>
      <c r="K29" s="17">
        <v>125</v>
      </c>
      <c r="L29" s="18" t="s">
        <v>21</v>
      </c>
      <c r="M29" s="19">
        <v>34170.85</v>
      </c>
      <c r="N29" s="19">
        <v>0</v>
      </c>
      <c r="O29" s="19">
        <f t="shared" si="0"/>
        <v>4271356.25</v>
      </c>
      <c r="P29" s="17" t="s">
        <v>185</v>
      </c>
    </row>
    <row r="30" spans="1:16" x14ac:dyDescent="0.3">
      <c r="A30" s="9" t="s">
        <v>1291</v>
      </c>
      <c r="B30" s="10">
        <v>48389</v>
      </c>
      <c r="C30" s="11" t="s">
        <v>2171</v>
      </c>
      <c r="D30" s="12">
        <v>43980</v>
      </c>
      <c r="E30" s="12">
        <v>43964</v>
      </c>
      <c r="F30" s="13">
        <v>15000000</v>
      </c>
      <c r="G30" s="14">
        <v>0</v>
      </c>
      <c r="H30" s="9" t="s">
        <v>2172</v>
      </c>
      <c r="I30" s="15">
        <v>830037946</v>
      </c>
      <c r="J30" s="16" t="s">
        <v>2173</v>
      </c>
      <c r="K30" s="17">
        <v>25</v>
      </c>
      <c r="L30" s="18" t="s">
        <v>21</v>
      </c>
      <c r="M30" s="19">
        <f>+F30/K30</f>
        <v>600000</v>
      </c>
      <c r="N30" s="19">
        <v>0</v>
      </c>
      <c r="O30" s="19">
        <f t="shared" si="0"/>
        <v>15000000</v>
      </c>
      <c r="P30" s="17" t="s">
        <v>185</v>
      </c>
    </row>
    <row r="31" spans="1:16" x14ac:dyDescent="0.3">
      <c r="A31" s="9" t="s">
        <v>1291</v>
      </c>
      <c r="B31" s="10">
        <v>61823</v>
      </c>
      <c r="C31" s="11" t="s">
        <v>2190</v>
      </c>
      <c r="D31" s="12">
        <v>44180</v>
      </c>
      <c r="E31" s="12">
        <v>44180</v>
      </c>
      <c r="F31" s="13">
        <v>795000</v>
      </c>
      <c r="G31" s="14">
        <v>0</v>
      </c>
      <c r="H31" s="9" t="s">
        <v>280</v>
      </c>
      <c r="I31" s="15">
        <v>900505419</v>
      </c>
      <c r="J31" s="16" t="s">
        <v>1932</v>
      </c>
      <c r="K31" s="17">
        <v>15</v>
      </c>
      <c r="L31" s="18" t="s">
        <v>21</v>
      </c>
      <c r="M31" s="19">
        <v>45000</v>
      </c>
      <c r="N31" s="19">
        <v>0</v>
      </c>
      <c r="O31" s="19">
        <f t="shared" si="0"/>
        <v>675000</v>
      </c>
      <c r="P31" s="17" t="s">
        <v>185</v>
      </c>
    </row>
    <row r="32" spans="1:16" x14ac:dyDescent="0.3">
      <c r="A32" s="9" t="s">
        <v>1306</v>
      </c>
      <c r="B32" s="10" t="s">
        <v>2062</v>
      </c>
      <c r="C32" s="11" t="s">
        <v>1375</v>
      </c>
      <c r="D32" s="12">
        <v>43979</v>
      </c>
      <c r="E32" s="12">
        <v>43979</v>
      </c>
      <c r="F32" s="13">
        <v>11500000</v>
      </c>
      <c r="G32" s="14">
        <v>0</v>
      </c>
      <c r="H32" s="9" t="s">
        <v>306</v>
      </c>
      <c r="I32" s="15">
        <v>900017447</v>
      </c>
      <c r="J32" s="16" t="s">
        <v>668</v>
      </c>
      <c r="K32" s="17">
        <v>20</v>
      </c>
      <c r="L32" s="18" t="s">
        <v>21</v>
      </c>
      <c r="M32" s="19">
        <v>575000</v>
      </c>
      <c r="N32" s="19">
        <v>0</v>
      </c>
      <c r="O32" s="19">
        <f t="shared" si="0"/>
        <v>11500000</v>
      </c>
      <c r="P32" s="17" t="s">
        <v>185</v>
      </c>
    </row>
    <row r="33" spans="1:16" x14ac:dyDescent="0.3">
      <c r="A33" s="9" t="s">
        <v>1306</v>
      </c>
      <c r="B33" s="10" t="s">
        <v>1429</v>
      </c>
      <c r="C33" s="11" t="s">
        <v>1430</v>
      </c>
      <c r="D33" s="12">
        <v>44180</v>
      </c>
      <c r="E33" s="12">
        <v>44180</v>
      </c>
      <c r="F33" s="13">
        <v>2180000</v>
      </c>
      <c r="G33" s="14">
        <v>0</v>
      </c>
      <c r="H33" s="9" t="s">
        <v>1431</v>
      </c>
      <c r="I33" s="15" t="s">
        <v>1432</v>
      </c>
      <c r="J33" s="16" t="s">
        <v>1932</v>
      </c>
      <c r="K33" s="17">
        <v>40</v>
      </c>
      <c r="L33" s="18" t="s">
        <v>21</v>
      </c>
      <c r="M33" s="19">
        <v>45000</v>
      </c>
      <c r="N33" s="19">
        <v>0</v>
      </c>
      <c r="O33" s="19">
        <f t="shared" si="0"/>
        <v>1800000</v>
      </c>
      <c r="P33" s="17" t="s">
        <v>185</v>
      </c>
    </row>
    <row r="34" spans="1:16" x14ac:dyDescent="0.3">
      <c r="A34" s="9" t="s">
        <v>1472</v>
      </c>
      <c r="B34" s="10" t="s">
        <v>1543</v>
      </c>
      <c r="C34" s="11" t="s">
        <v>1544</v>
      </c>
      <c r="D34" s="12">
        <v>43992</v>
      </c>
      <c r="E34" s="12">
        <v>43992</v>
      </c>
      <c r="F34" s="13">
        <v>9148936.2300000004</v>
      </c>
      <c r="G34" s="14">
        <v>0</v>
      </c>
      <c r="H34" s="9" t="s">
        <v>1545</v>
      </c>
      <c r="I34" s="15">
        <v>900257066</v>
      </c>
      <c r="J34" s="16" t="s">
        <v>1546</v>
      </c>
      <c r="K34" s="17">
        <v>25</v>
      </c>
      <c r="L34" s="18" t="s">
        <v>21</v>
      </c>
      <c r="M34" s="19">
        <v>361702.13</v>
      </c>
      <c r="N34" s="19">
        <v>0</v>
      </c>
      <c r="O34" s="19">
        <f t="shared" si="0"/>
        <v>9042553.25</v>
      </c>
      <c r="P34" s="17" t="s">
        <v>185</v>
      </c>
    </row>
    <row r="35" spans="1:16" x14ac:dyDescent="0.3">
      <c r="A35" s="9" t="s">
        <v>1571</v>
      </c>
      <c r="B35" s="10" t="s">
        <v>2083</v>
      </c>
      <c r="C35" s="11" t="s">
        <v>1587</v>
      </c>
      <c r="D35" s="12">
        <v>43972</v>
      </c>
      <c r="E35" s="12">
        <v>43972</v>
      </c>
      <c r="F35" s="13">
        <v>9028390</v>
      </c>
      <c r="G35" s="14">
        <v>0</v>
      </c>
      <c r="H35" s="9" t="s">
        <v>1588</v>
      </c>
      <c r="I35" s="15">
        <v>900676378</v>
      </c>
      <c r="J35" s="16" t="s">
        <v>1589</v>
      </c>
      <c r="K35" s="17">
        <v>14</v>
      </c>
      <c r="L35" s="18" t="s">
        <v>21</v>
      </c>
      <c r="M35" s="19">
        <v>583600</v>
      </c>
      <c r="N35" s="19">
        <v>0</v>
      </c>
      <c r="O35" s="19">
        <f t="shared" si="0"/>
        <v>8170400</v>
      </c>
      <c r="P35" s="17" t="s">
        <v>185</v>
      </c>
    </row>
    <row r="36" spans="1:16" x14ac:dyDescent="0.3">
      <c r="A36" s="9" t="s">
        <v>1629</v>
      </c>
      <c r="B36" s="10" t="s">
        <v>2117</v>
      </c>
      <c r="C36" s="11" t="s">
        <v>1665</v>
      </c>
      <c r="D36" s="12">
        <v>43969</v>
      </c>
      <c r="E36" s="12">
        <v>43971</v>
      </c>
      <c r="F36" s="13">
        <v>20065000</v>
      </c>
      <c r="G36" s="14">
        <v>0</v>
      </c>
      <c r="H36" s="9" t="s">
        <v>1946</v>
      </c>
      <c r="I36" s="15">
        <v>77188846</v>
      </c>
      <c r="J36" s="16" t="s">
        <v>1666</v>
      </c>
      <c r="K36" s="17">
        <v>50</v>
      </c>
      <c r="L36" s="29" t="s">
        <v>21</v>
      </c>
      <c r="M36" s="19">
        <v>350000</v>
      </c>
      <c r="N36" s="19">
        <v>0</v>
      </c>
      <c r="O36" s="19">
        <f t="shared" si="0"/>
        <v>17500000</v>
      </c>
      <c r="P36" s="17" t="s">
        <v>185</v>
      </c>
    </row>
    <row r="37" spans="1:16" x14ac:dyDescent="0.3">
      <c r="A37" s="9" t="s">
        <v>1692</v>
      </c>
      <c r="B37" s="10" t="s">
        <v>1727</v>
      </c>
      <c r="C37" s="11" t="s">
        <v>1724</v>
      </c>
      <c r="D37" s="12">
        <v>43986</v>
      </c>
      <c r="E37" s="12">
        <v>43986</v>
      </c>
      <c r="F37" s="13">
        <v>3900000</v>
      </c>
      <c r="G37" s="14">
        <v>0</v>
      </c>
      <c r="H37" s="9" t="s">
        <v>1728</v>
      </c>
      <c r="I37" s="15">
        <v>890935513</v>
      </c>
      <c r="J37" s="16" t="s">
        <v>1729</v>
      </c>
      <c r="K37" s="17">
        <v>15</v>
      </c>
      <c r="L37" s="18" t="s">
        <v>21</v>
      </c>
      <c r="M37" s="19">
        <v>260000</v>
      </c>
      <c r="N37" s="19">
        <v>0</v>
      </c>
      <c r="O37" s="19">
        <f t="shared" si="0"/>
        <v>3900000</v>
      </c>
      <c r="P37" s="17" t="s">
        <v>185</v>
      </c>
    </row>
  </sheetData>
  <dataValidations count="13">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6:E8 E22:E23 A3:B3 A2 D3:I3 E4 E10:E12 E17:E19 E34 A36:B36 D36:I36 E37">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6:F8 F11:F12 F22:F23 F17:F19 F4 F34 F3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0:A31 A6:A21 A34 A37">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12 I17:I18 I20 I22:I23 I4 I37">
      <formula1>-999999999</formula1>
      <formula2>999999999</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20:E20 D22:D23 D17:D19 D32:E32 D6:D8 D11:D12 D34 D35:E35 D37">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6 I8:I9 I11 I14 I16 I21">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6:H9 H11:H13 H17:H18 H20:H23 H3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6:B8 B11:B12 B21:B23 B17:B19 B34 B37">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21:E21 D13:E13 D24:E2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H14">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15:G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16">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21 F33">
      <formula1>-9223372036854770000</formula1>
      <formula2>9223372036854770000</formula2>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sqref="A1:P56"/>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55</v>
      </c>
      <c r="C2" s="11" t="s">
        <v>47</v>
      </c>
      <c r="D2" s="12">
        <v>43967</v>
      </c>
      <c r="E2" s="12">
        <v>43967</v>
      </c>
      <c r="F2" s="13">
        <v>7646052</v>
      </c>
      <c r="G2" s="14">
        <v>0</v>
      </c>
      <c r="H2" s="9" t="s">
        <v>56</v>
      </c>
      <c r="I2" s="15">
        <v>900300970</v>
      </c>
      <c r="J2" s="16" t="s">
        <v>57</v>
      </c>
      <c r="K2" s="17">
        <v>400</v>
      </c>
      <c r="L2" s="18" t="s">
        <v>53</v>
      </c>
      <c r="M2" s="19">
        <v>16063.13</v>
      </c>
      <c r="N2" s="19">
        <f t="shared" ref="N2:N4" si="0">M2*0.19</f>
        <v>3051.9946999999997</v>
      </c>
      <c r="O2" s="19">
        <f t="shared" ref="O2:O55" si="1">K2*(M2+N2)</f>
        <v>7646049.8799999999</v>
      </c>
      <c r="P2" s="21" t="s">
        <v>656</v>
      </c>
    </row>
    <row r="3" spans="1:16" x14ac:dyDescent="0.3">
      <c r="A3" s="9" t="s">
        <v>16</v>
      </c>
      <c r="B3" s="10" t="s">
        <v>108</v>
      </c>
      <c r="C3" s="11" t="s">
        <v>109</v>
      </c>
      <c r="D3" s="12">
        <v>44133</v>
      </c>
      <c r="E3" s="12">
        <v>44133</v>
      </c>
      <c r="F3" s="26">
        <v>2977500</v>
      </c>
      <c r="G3" s="27">
        <v>0</v>
      </c>
      <c r="H3" s="9" t="s">
        <v>110</v>
      </c>
      <c r="I3" s="15">
        <v>900353659</v>
      </c>
      <c r="J3" s="16" t="s">
        <v>57</v>
      </c>
      <c r="K3" s="17">
        <v>250</v>
      </c>
      <c r="L3" s="18" t="s">
        <v>53</v>
      </c>
      <c r="M3" s="19">
        <v>9000</v>
      </c>
      <c r="N3" s="19">
        <f t="shared" si="0"/>
        <v>1710</v>
      </c>
      <c r="O3" s="19">
        <f t="shared" si="1"/>
        <v>2677500</v>
      </c>
      <c r="P3" s="21" t="s">
        <v>656</v>
      </c>
    </row>
    <row r="4" spans="1:16" x14ac:dyDescent="0.3">
      <c r="A4" s="9" t="s">
        <v>138</v>
      </c>
      <c r="B4" s="10" t="s">
        <v>139</v>
      </c>
      <c r="C4" s="28" t="s">
        <v>140</v>
      </c>
      <c r="D4" s="12">
        <v>43908</v>
      </c>
      <c r="E4" s="12">
        <v>43908</v>
      </c>
      <c r="F4" s="13">
        <v>7176804</v>
      </c>
      <c r="G4" s="14">
        <v>0</v>
      </c>
      <c r="H4" s="9" t="s">
        <v>141</v>
      </c>
      <c r="I4" s="15">
        <v>800031358</v>
      </c>
      <c r="J4" s="16" t="s">
        <v>148</v>
      </c>
      <c r="K4" s="17">
        <v>703</v>
      </c>
      <c r="L4" s="29" t="s">
        <v>2135</v>
      </c>
      <c r="M4" s="19">
        <v>4133</v>
      </c>
      <c r="N4" s="19">
        <f t="shared" si="0"/>
        <v>785.27</v>
      </c>
      <c r="O4" s="19">
        <f t="shared" si="1"/>
        <v>3457543.8100000005</v>
      </c>
      <c r="P4" s="21" t="s">
        <v>656</v>
      </c>
    </row>
    <row r="5" spans="1:16" x14ac:dyDescent="0.3">
      <c r="A5" s="9" t="s">
        <v>138</v>
      </c>
      <c r="B5" s="10" t="s">
        <v>156</v>
      </c>
      <c r="C5" s="28" t="s">
        <v>157</v>
      </c>
      <c r="D5" s="12">
        <v>43966</v>
      </c>
      <c r="E5" s="12">
        <v>43966</v>
      </c>
      <c r="F5" s="13">
        <v>10515900</v>
      </c>
      <c r="G5" s="14">
        <v>0</v>
      </c>
      <c r="H5" s="9" t="s">
        <v>158</v>
      </c>
      <c r="I5" s="15">
        <v>830001338</v>
      </c>
      <c r="J5" s="16" t="s">
        <v>159</v>
      </c>
      <c r="K5" s="17">
        <v>1000</v>
      </c>
      <c r="L5" s="29" t="s">
        <v>2135</v>
      </c>
      <c r="M5" s="19">
        <v>5373</v>
      </c>
      <c r="N5" s="19">
        <v>0</v>
      </c>
      <c r="O5" s="19">
        <f t="shared" si="1"/>
        <v>5373000</v>
      </c>
      <c r="P5" s="21" t="s">
        <v>656</v>
      </c>
    </row>
    <row r="6" spans="1:16" x14ac:dyDescent="0.3">
      <c r="A6" s="9" t="s">
        <v>196</v>
      </c>
      <c r="B6" s="10" t="s">
        <v>203</v>
      </c>
      <c r="C6" s="11" t="s">
        <v>204</v>
      </c>
      <c r="D6" s="12">
        <v>43916</v>
      </c>
      <c r="E6" s="12">
        <v>43920</v>
      </c>
      <c r="F6" s="13">
        <v>219927500</v>
      </c>
      <c r="G6" s="14">
        <v>0</v>
      </c>
      <c r="H6" s="9" t="s">
        <v>205</v>
      </c>
      <c r="I6" s="15">
        <v>900521780</v>
      </c>
      <c r="J6" s="16" t="s">
        <v>206</v>
      </c>
      <c r="K6" s="17">
        <v>2000</v>
      </c>
      <c r="L6" s="29" t="s">
        <v>2135</v>
      </c>
      <c r="M6" s="19">
        <v>6500</v>
      </c>
      <c r="N6" s="19">
        <v>0</v>
      </c>
      <c r="O6" s="19">
        <f t="shared" si="1"/>
        <v>13000000</v>
      </c>
      <c r="P6" s="21" t="s">
        <v>656</v>
      </c>
    </row>
    <row r="7" spans="1:16" x14ac:dyDescent="0.3">
      <c r="A7" s="9" t="s">
        <v>196</v>
      </c>
      <c r="B7" s="10" t="s">
        <v>2014</v>
      </c>
      <c r="C7" s="11" t="s">
        <v>1778</v>
      </c>
      <c r="D7" s="12">
        <v>44189</v>
      </c>
      <c r="E7" s="12">
        <v>44189</v>
      </c>
      <c r="F7" s="13">
        <v>31430750</v>
      </c>
      <c r="G7" s="14">
        <v>0</v>
      </c>
      <c r="H7" s="9" t="s">
        <v>123</v>
      </c>
      <c r="I7" s="15">
        <v>900791672</v>
      </c>
      <c r="J7" s="16" t="s">
        <v>58</v>
      </c>
      <c r="K7" s="17">
        <v>8500</v>
      </c>
      <c r="L7" s="29" t="s">
        <v>2135</v>
      </c>
      <c r="M7" s="19">
        <v>3107.3405832921403</v>
      </c>
      <c r="N7" s="19">
        <f t="shared" ref="N7:N9" si="2">M7*0.19</f>
        <v>590.39471082550665</v>
      </c>
      <c r="O7" s="19">
        <f t="shared" si="1"/>
        <v>31430750</v>
      </c>
      <c r="P7" s="21" t="s">
        <v>656</v>
      </c>
    </row>
    <row r="8" spans="1:16" x14ac:dyDescent="0.3">
      <c r="A8" s="9" t="s">
        <v>196</v>
      </c>
      <c r="B8" s="10" t="s">
        <v>2015</v>
      </c>
      <c r="C8" s="11" t="s">
        <v>1778</v>
      </c>
      <c r="D8" s="12">
        <v>44189</v>
      </c>
      <c r="E8" s="12">
        <v>44189</v>
      </c>
      <c r="F8" s="13">
        <v>3889300</v>
      </c>
      <c r="G8" s="14">
        <v>0</v>
      </c>
      <c r="H8" s="9" t="s">
        <v>60</v>
      </c>
      <c r="I8" s="15">
        <v>830001338</v>
      </c>
      <c r="J8" s="16" t="s">
        <v>58</v>
      </c>
      <c r="K8" s="17">
        <v>1000</v>
      </c>
      <c r="L8" s="29" t="s">
        <v>2135</v>
      </c>
      <c r="M8" s="19">
        <v>3268.3193277310929</v>
      </c>
      <c r="N8" s="19">
        <f t="shared" si="2"/>
        <v>620.98067226890771</v>
      </c>
      <c r="O8" s="19">
        <f t="shared" si="1"/>
        <v>3889300.0000000005</v>
      </c>
      <c r="P8" s="21" t="s">
        <v>656</v>
      </c>
    </row>
    <row r="9" spans="1:16" x14ac:dyDescent="0.3">
      <c r="A9" s="9" t="s">
        <v>196</v>
      </c>
      <c r="B9" s="10" t="s">
        <v>2016</v>
      </c>
      <c r="C9" s="11" t="s">
        <v>1778</v>
      </c>
      <c r="D9" s="12">
        <v>44189</v>
      </c>
      <c r="E9" s="12">
        <v>44189</v>
      </c>
      <c r="F9" s="13">
        <v>7079650</v>
      </c>
      <c r="G9" s="14">
        <v>0</v>
      </c>
      <c r="H9" s="9" t="s">
        <v>283</v>
      </c>
      <c r="I9" s="15">
        <v>901104771</v>
      </c>
      <c r="J9" s="16" t="s">
        <v>58</v>
      </c>
      <c r="K9" s="17">
        <v>1500</v>
      </c>
      <c r="L9" s="29" t="s">
        <v>2135</v>
      </c>
      <c r="M9" s="19">
        <v>3966.1904761904761</v>
      </c>
      <c r="N9" s="19">
        <f t="shared" si="2"/>
        <v>753.5761904761905</v>
      </c>
      <c r="O9" s="19">
        <f t="shared" si="1"/>
        <v>7079650</v>
      </c>
      <c r="P9" s="21" t="s">
        <v>656</v>
      </c>
    </row>
    <row r="10" spans="1:16" x14ac:dyDescent="0.3">
      <c r="A10" s="9" t="s">
        <v>284</v>
      </c>
      <c r="B10" s="10" t="s">
        <v>298</v>
      </c>
      <c r="C10" s="11" t="s">
        <v>299</v>
      </c>
      <c r="D10" s="12">
        <v>43910</v>
      </c>
      <c r="E10" s="12">
        <v>43910</v>
      </c>
      <c r="F10" s="13">
        <v>33831700</v>
      </c>
      <c r="G10" s="14">
        <v>0</v>
      </c>
      <c r="H10" s="9" t="s">
        <v>300</v>
      </c>
      <c r="I10" s="15">
        <v>830037946</v>
      </c>
      <c r="J10" s="16" t="s">
        <v>302</v>
      </c>
      <c r="K10" s="17">
        <v>500</v>
      </c>
      <c r="L10" s="29" t="s">
        <v>2135</v>
      </c>
      <c r="M10" s="19">
        <v>6664</v>
      </c>
      <c r="N10" s="19">
        <v>0</v>
      </c>
      <c r="O10" s="19">
        <f t="shared" si="1"/>
        <v>3332000</v>
      </c>
      <c r="P10" s="21" t="s">
        <v>656</v>
      </c>
    </row>
    <row r="11" spans="1:16" x14ac:dyDescent="0.3">
      <c r="A11" s="9" t="s">
        <v>284</v>
      </c>
      <c r="B11" s="10" t="s">
        <v>357</v>
      </c>
      <c r="C11" s="11" t="s">
        <v>358</v>
      </c>
      <c r="D11" s="12">
        <v>43984</v>
      </c>
      <c r="E11" s="12">
        <v>43984</v>
      </c>
      <c r="F11" s="13">
        <v>9984000</v>
      </c>
      <c r="G11" s="14">
        <v>0</v>
      </c>
      <c r="H11" s="9" t="s">
        <v>359</v>
      </c>
      <c r="I11" s="15">
        <v>900704052</v>
      </c>
      <c r="J11" s="16" t="s">
        <v>360</v>
      </c>
      <c r="K11" s="17">
        <v>2000</v>
      </c>
      <c r="L11" s="29" t="s">
        <v>2135</v>
      </c>
      <c r="M11" s="19">
        <v>4742</v>
      </c>
      <c r="N11" s="19">
        <v>0</v>
      </c>
      <c r="O11" s="19">
        <f t="shared" si="1"/>
        <v>9484000</v>
      </c>
      <c r="P11" s="21" t="s">
        <v>656</v>
      </c>
    </row>
    <row r="12" spans="1:16" x14ac:dyDescent="0.3">
      <c r="A12" s="9" t="s">
        <v>284</v>
      </c>
      <c r="B12" s="10" t="s">
        <v>388</v>
      </c>
      <c r="C12" s="11" t="s">
        <v>1781</v>
      </c>
      <c r="D12" s="12">
        <v>44160</v>
      </c>
      <c r="E12" s="12">
        <v>44160</v>
      </c>
      <c r="F12" s="13">
        <v>30398300</v>
      </c>
      <c r="G12" s="14">
        <v>0</v>
      </c>
      <c r="H12" s="9" t="s">
        <v>389</v>
      </c>
      <c r="I12" s="15">
        <v>901346888</v>
      </c>
      <c r="J12" s="16" t="s">
        <v>391</v>
      </c>
      <c r="K12" s="17">
        <v>4200</v>
      </c>
      <c r="L12" s="29" t="s">
        <v>2135</v>
      </c>
      <c r="M12" s="19">
        <v>3100</v>
      </c>
      <c r="N12" s="19">
        <f t="shared" ref="N12:N14" si="3">M12*0.19</f>
        <v>589</v>
      </c>
      <c r="O12" s="19">
        <f t="shared" si="1"/>
        <v>15493800</v>
      </c>
      <c r="P12" s="21" t="s">
        <v>656</v>
      </c>
    </row>
    <row r="13" spans="1:16" x14ac:dyDescent="0.3">
      <c r="A13" s="9" t="s">
        <v>402</v>
      </c>
      <c r="B13" s="10" t="s">
        <v>403</v>
      </c>
      <c r="C13" s="11" t="s">
        <v>404</v>
      </c>
      <c r="D13" s="12">
        <v>43900</v>
      </c>
      <c r="E13" s="12">
        <v>43900</v>
      </c>
      <c r="F13" s="13">
        <v>48156480</v>
      </c>
      <c r="G13" s="14">
        <v>0</v>
      </c>
      <c r="H13" s="9" t="s">
        <v>405</v>
      </c>
      <c r="I13" s="15">
        <v>830037946</v>
      </c>
      <c r="J13" s="16" t="s">
        <v>406</v>
      </c>
      <c r="K13" s="17">
        <v>1920</v>
      </c>
      <c r="L13" s="18" t="s">
        <v>53</v>
      </c>
      <c r="M13" s="19">
        <v>18252.100840336134</v>
      </c>
      <c r="N13" s="19">
        <f t="shared" si="3"/>
        <v>3467.8991596638652</v>
      </c>
      <c r="O13" s="19">
        <f t="shared" si="1"/>
        <v>41702400</v>
      </c>
      <c r="P13" s="21" t="s">
        <v>656</v>
      </c>
    </row>
    <row r="14" spans="1:16" x14ac:dyDescent="0.3">
      <c r="A14" s="9" t="s">
        <v>402</v>
      </c>
      <c r="B14" s="10" t="s">
        <v>442</v>
      </c>
      <c r="C14" s="11" t="s">
        <v>443</v>
      </c>
      <c r="D14" s="12">
        <v>43977</v>
      </c>
      <c r="E14" s="12">
        <v>43977</v>
      </c>
      <c r="F14" s="13">
        <v>64557207</v>
      </c>
      <c r="G14" s="14">
        <v>7566432</v>
      </c>
      <c r="H14" s="9" t="s">
        <v>60</v>
      </c>
      <c r="I14" s="15">
        <v>830001381</v>
      </c>
      <c r="J14" s="16" t="s">
        <v>444</v>
      </c>
      <c r="K14" s="17">
        <v>5586</v>
      </c>
      <c r="L14" s="18" t="s">
        <v>53</v>
      </c>
      <c r="M14" s="19">
        <v>10850</v>
      </c>
      <c r="N14" s="19">
        <f t="shared" si="3"/>
        <v>2061.5</v>
      </c>
      <c r="O14" s="19">
        <f t="shared" si="1"/>
        <v>72123639</v>
      </c>
      <c r="P14" s="21" t="s">
        <v>656</v>
      </c>
    </row>
    <row r="15" spans="1:16" x14ac:dyDescent="0.3">
      <c r="A15" s="9" t="s">
        <v>472</v>
      </c>
      <c r="B15" s="10" t="s">
        <v>484</v>
      </c>
      <c r="C15" s="11" t="s">
        <v>485</v>
      </c>
      <c r="D15" s="12">
        <v>43966</v>
      </c>
      <c r="E15" s="12">
        <v>43969</v>
      </c>
      <c r="F15" s="13">
        <v>27782000</v>
      </c>
      <c r="G15" s="14">
        <v>0</v>
      </c>
      <c r="H15" s="9" t="s">
        <v>486</v>
      </c>
      <c r="I15" s="15">
        <v>900881350</v>
      </c>
      <c r="J15" s="16" t="s">
        <v>488</v>
      </c>
      <c r="K15" s="17">
        <v>760</v>
      </c>
      <c r="L15" s="18" t="s">
        <v>53</v>
      </c>
      <c r="M15" s="19">
        <v>21450</v>
      </c>
      <c r="N15" s="19">
        <v>0</v>
      </c>
      <c r="O15" s="19">
        <f t="shared" si="1"/>
        <v>16302000</v>
      </c>
      <c r="P15" s="21" t="s">
        <v>656</v>
      </c>
    </row>
    <row r="16" spans="1:16" x14ac:dyDescent="0.3">
      <c r="A16" s="9" t="s">
        <v>558</v>
      </c>
      <c r="B16" s="10" t="s">
        <v>2018</v>
      </c>
      <c r="C16" s="28" t="s">
        <v>630</v>
      </c>
      <c r="D16" s="12">
        <v>44077</v>
      </c>
      <c r="E16" s="12">
        <v>44077</v>
      </c>
      <c r="F16" s="13">
        <v>14787292</v>
      </c>
      <c r="G16" s="14">
        <v>0</v>
      </c>
      <c r="H16" s="9" t="s">
        <v>654</v>
      </c>
      <c r="I16" s="15">
        <v>8300013381</v>
      </c>
      <c r="J16" s="16" t="s">
        <v>58</v>
      </c>
      <c r="K16" s="17">
        <v>1620</v>
      </c>
      <c r="L16" s="29" t="s">
        <v>2135</v>
      </c>
      <c r="M16" s="19">
        <v>3320</v>
      </c>
      <c r="N16" s="19">
        <f t="shared" ref="N16" si="4">M16*0.19</f>
        <v>630.79999999999995</v>
      </c>
      <c r="O16" s="19">
        <f t="shared" si="1"/>
        <v>6400296</v>
      </c>
      <c r="P16" s="17" t="s">
        <v>656</v>
      </c>
    </row>
    <row r="17" spans="1:16" x14ac:dyDescent="0.3">
      <c r="A17" s="9" t="s">
        <v>558</v>
      </c>
      <c r="B17" s="10" t="s">
        <v>2028</v>
      </c>
      <c r="C17" s="28" t="s">
        <v>653</v>
      </c>
      <c r="D17" s="12">
        <v>44181</v>
      </c>
      <c r="E17" s="12">
        <v>44181</v>
      </c>
      <c r="F17" s="13">
        <v>12812903.15</v>
      </c>
      <c r="G17" s="14">
        <v>0</v>
      </c>
      <c r="H17" s="9" t="s">
        <v>654</v>
      </c>
      <c r="I17" s="15">
        <v>830001338</v>
      </c>
      <c r="J17" s="16" t="s">
        <v>655</v>
      </c>
      <c r="K17" s="17">
        <v>1735</v>
      </c>
      <c r="L17" s="29" t="s">
        <v>2135</v>
      </c>
      <c r="M17" s="19">
        <v>3440.29</v>
      </c>
      <c r="N17" s="19">
        <v>0</v>
      </c>
      <c r="O17" s="19">
        <f t="shared" si="1"/>
        <v>5968903.1500000004</v>
      </c>
      <c r="P17" s="21" t="s">
        <v>656</v>
      </c>
    </row>
    <row r="18" spans="1:16" x14ac:dyDescent="0.3">
      <c r="A18" s="9" t="s">
        <v>657</v>
      </c>
      <c r="B18" s="10" t="s">
        <v>662</v>
      </c>
      <c r="C18" s="11" t="s">
        <v>663</v>
      </c>
      <c r="D18" s="12">
        <v>43963</v>
      </c>
      <c r="E18" s="12">
        <v>43963</v>
      </c>
      <c r="F18" s="13">
        <v>166018725</v>
      </c>
      <c r="G18" s="14">
        <v>0</v>
      </c>
      <c r="H18" s="9" t="s">
        <v>660</v>
      </c>
      <c r="I18" s="15">
        <v>813005241</v>
      </c>
      <c r="J18" s="16" t="s">
        <v>360</v>
      </c>
      <c r="K18" s="17">
        <v>491</v>
      </c>
      <c r="L18" s="29" t="s">
        <v>2135</v>
      </c>
      <c r="M18" s="19">
        <v>6975</v>
      </c>
      <c r="N18" s="19">
        <v>0</v>
      </c>
      <c r="O18" s="19">
        <f t="shared" si="1"/>
        <v>3424725</v>
      </c>
      <c r="P18" s="21" t="s">
        <v>656</v>
      </c>
    </row>
    <row r="19" spans="1:16" x14ac:dyDescent="0.3">
      <c r="A19" s="9" t="s">
        <v>657</v>
      </c>
      <c r="B19" s="10" t="s">
        <v>670</v>
      </c>
      <c r="C19" s="11" t="s">
        <v>671</v>
      </c>
      <c r="D19" s="12">
        <v>44015</v>
      </c>
      <c r="E19" s="12">
        <v>44018</v>
      </c>
      <c r="F19" s="13">
        <v>201000100</v>
      </c>
      <c r="G19" s="14">
        <v>0</v>
      </c>
      <c r="H19" s="9" t="s">
        <v>660</v>
      </c>
      <c r="I19" s="15">
        <v>813005241</v>
      </c>
      <c r="J19" s="16" t="s">
        <v>360</v>
      </c>
      <c r="K19" s="17">
        <v>975</v>
      </c>
      <c r="L19" s="29" t="s">
        <v>2135</v>
      </c>
      <c r="M19" s="19">
        <v>6300</v>
      </c>
      <c r="N19" s="19">
        <v>0</v>
      </c>
      <c r="O19" s="19">
        <f t="shared" si="1"/>
        <v>6142500</v>
      </c>
      <c r="P19" s="21" t="s">
        <v>656</v>
      </c>
    </row>
    <row r="20" spans="1:16" x14ac:dyDescent="0.3">
      <c r="A20" s="9" t="s">
        <v>657</v>
      </c>
      <c r="B20" s="10" t="s">
        <v>2031</v>
      </c>
      <c r="C20" s="11" t="s">
        <v>1797</v>
      </c>
      <c r="D20" s="12">
        <v>44159</v>
      </c>
      <c r="E20" s="12">
        <v>44159</v>
      </c>
      <c r="F20" s="13">
        <v>38115250</v>
      </c>
      <c r="G20" s="14">
        <v>0</v>
      </c>
      <c r="H20" s="9" t="s">
        <v>158</v>
      </c>
      <c r="I20" s="15">
        <v>830001338</v>
      </c>
      <c r="J20" s="16" t="s">
        <v>360</v>
      </c>
      <c r="K20" s="17">
        <v>10000</v>
      </c>
      <c r="L20" s="29" t="s">
        <v>2135</v>
      </c>
      <c r="M20" s="19">
        <v>2561</v>
      </c>
      <c r="N20" s="19">
        <f>M20*0.19</f>
        <v>486.59000000000003</v>
      </c>
      <c r="O20" s="19">
        <f t="shared" si="1"/>
        <v>30475900</v>
      </c>
      <c r="P20" s="21" t="s">
        <v>656</v>
      </c>
    </row>
    <row r="21" spans="1:16" x14ac:dyDescent="0.3">
      <c r="A21" s="9" t="s">
        <v>690</v>
      </c>
      <c r="B21" s="10" t="s">
        <v>2038</v>
      </c>
      <c r="C21" s="11" t="s">
        <v>741</v>
      </c>
      <c r="D21" s="12">
        <v>43983</v>
      </c>
      <c r="E21" s="12">
        <v>43983</v>
      </c>
      <c r="F21" s="13">
        <v>12695000</v>
      </c>
      <c r="G21" s="14">
        <v>0</v>
      </c>
      <c r="H21" s="9" t="s">
        <v>318</v>
      </c>
      <c r="I21" s="15">
        <v>900353659</v>
      </c>
      <c r="J21" s="16" t="s">
        <v>741</v>
      </c>
      <c r="K21" s="17">
        <v>1000</v>
      </c>
      <c r="L21" s="18" t="s">
        <v>53</v>
      </c>
      <c r="M21" s="19">
        <v>10500</v>
      </c>
      <c r="N21" s="19">
        <f>M21*0.19</f>
        <v>1995</v>
      </c>
      <c r="O21" s="19">
        <f t="shared" si="1"/>
        <v>12495000</v>
      </c>
      <c r="P21" s="21" t="s">
        <v>656</v>
      </c>
    </row>
    <row r="22" spans="1:16" x14ac:dyDescent="0.3">
      <c r="A22" s="9" t="s">
        <v>690</v>
      </c>
      <c r="B22" s="10" t="s">
        <v>2042</v>
      </c>
      <c r="C22" s="11" t="s">
        <v>757</v>
      </c>
      <c r="D22" s="12">
        <v>43987</v>
      </c>
      <c r="E22" s="12">
        <v>43987</v>
      </c>
      <c r="F22" s="13">
        <v>3490500</v>
      </c>
      <c r="G22" s="14">
        <v>0</v>
      </c>
      <c r="H22" s="9" t="s">
        <v>758</v>
      </c>
      <c r="I22" s="15">
        <v>900791672</v>
      </c>
      <c r="J22" s="16" t="s">
        <v>757</v>
      </c>
      <c r="K22" s="17">
        <v>500</v>
      </c>
      <c r="L22" s="29" t="s">
        <v>2135</v>
      </c>
      <c r="M22" s="19">
        <v>4900</v>
      </c>
      <c r="N22" s="19">
        <f>M22*0.19</f>
        <v>931</v>
      </c>
      <c r="O22" s="19">
        <f t="shared" si="1"/>
        <v>2915500</v>
      </c>
      <c r="P22" s="21" t="s">
        <v>656</v>
      </c>
    </row>
    <row r="23" spans="1:16" x14ac:dyDescent="0.3">
      <c r="A23" s="33" t="s">
        <v>690</v>
      </c>
      <c r="B23" s="33" t="s">
        <v>788</v>
      </c>
      <c r="C23" s="33" t="s">
        <v>1802</v>
      </c>
      <c r="D23" s="34">
        <v>44092</v>
      </c>
      <c r="E23" s="34">
        <v>44094</v>
      </c>
      <c r="F23" s="35">
        <v>6696000</v>
      </c>
      <c r="G23" s="14">
        <v>0</v>
      </c>
      <c r="H23" s="33" t="s">
        <v>789</v>
      </c>
      <c r="I23" s="36">
        <v>900365660</v>
      </c>
      <c r="J23" s="33" t="s">
        <v>1864</v>
      </c>
      <c r="K23" s="17">
        <v>600</v>
      </c>
      <c r="L23" s="18" t="s">
        <v>53</v>
      </c>
      <c r="M23" s="19">
        <v>9378.1516666666666</v>
      </c>
      <c r="N23" s="19">
        <f t="shared" ref="N23:N25" si="5">M23*0.19</f>
        <v>1781.8488166666666</v>
      </c>
      <c r="O23" s="19">
        <f t="shared" si="1"/>
        <v>6696000.29</v>
      </c>
      <c r="P23" s="21" t="s">
        <v>656</v>
      </c>
    </row>
    <row r="24" spans="1:16" x14ac:dyDescent="0.3">
      <c r="A24" s="33" t="s">
        <v>690</v>
      </c>
      <c r="B24" s="33" t="s">
        <v>804</v>
      </c>
      <c r="C24" s="33" t="s">
        <v>1811</v>
      </c>
      <c r="D24" s="34">
        <v>44186</v>
      </c>
      <c r="E24" s="34">
        <v>44186</v>
      </c>
      <c r="F24" s="35">
        <v>15191150</v>
      </c>
      <c r="G24" s="14">
        <v>0</v>
      </c>
      <c r="H24" s="33" t="s">
        <v>110</v>
      </c>
      <c r="I24" s="36">
        <v>900353659</v>
      </c>
      <c r="J24" s="33" t="s">
        <v>1874</v>
      </c>
      <c r="K24" s="17">
        <v>500</v>
      </c>
      <c r="L24" s="18" t="s">
        <v>53</v>
      </c>
      <c r="M24" s="19">
        <v>8800</v>
      </c>
      <c r="N24" s="19">
        <f t="shared" si="5"/>
        <v>1672</v>
      </c>
      <c r="O24" s="19">
        <f t="shared" si="1"/>
        <v>5236000</v>
      </c>
      <c r="P24" s="21" t="s">
        <v>656</v>
      </c>
    </row>
    <row r="25" spans="1:16" x14ac:dyDescent="0.3">
      <c r="A25" s="33" t="s">
        <v>690</v>
      </c>
      <c r="B25" s="33" t="s">
        <v>805</v>
      </c>
      <c r="C25" s="33" t="s">
        <v>1812</v>
      </c>
      <c r="D25" s="34">
        <v>44186</v>
      </c>
      <c r="E25" s="34">
        <v>44186</v>
      </c>
      <c r="F25" s="35">
        <v>7779980.4199999999</v>
      </c>
      <c r="G25" s="14">
        <v>0</v>
      </c>
      <c r="H25" s="33" t="s">
        <v>158</v>
      </c>
      <c r="I25" s="36">
        <v>830001338</v>
      </c>
      <c r="J25" s="33" t="s">
        <v>1874</v>
      </c>
      <c r="K25" s="17">
        <v>249</v>
      </c>
      <c r="L25" s="18" t="s">
        <v>53</v>
      </c>
      <c r="M25" s="19">
        <v>9382</v>
      </c>
      <c r="N25" s="19">
        <f t="shared" si="5"/>
        <v>1782.58</v>
      </c>
      <c r="O25" s="19">
        <f t="shared" si="1"/>
        <v>2779980.42</v>
      </c>
      <c r="P25" s="21" t="s">
        <v>656</v>
      </c>
    </row>
    <row r="26" spans="1:16" x14ac:dyDescent="0.3">
      <c r="A26" s="9" t="s">
        <v>809</v>
      </c>
      <c r="B26" s="10" t="s">
        <v>814</v>
      </c>
      <c r="C26" s="11" t="s">
        <v>815</v>
      </c>
      <c r="D26" s="12">
        <v>43971</v>
      </c>
      <c r="E26" s="12">
        <v>43972</v>
      </c>
      <c r="F26" s="13">
        <v>202984642</v>
      </c>
      <c r="G26" s="14">
        <v>0</v>
      </c>
      <c r="H26" s="9" t="s">
        <v>816</v>
      </c>
      <c r="I26" s="15">
        <v>800004711</v>
      </c>
      <c r="J26" s="16" t="s">
        <v>817</v>
      </c>
      <c r="K26" s="17">
        <v>11148</v>
      </c>
      <c r="L26" s="18" t="s">
        <v>53</v>
      </c>
      <c r="M26" s="19">
        <v>15301</v>
      </c>
      <c r="N26" s="19">
        <f>M26*0.19</f>
        <v>2907.19</v>
      </c>
      <c r="O26" s="19">
        <f t="shared" si="1"/>
        <v>202984902.11999997</v>
      </c>
      <c r="P26" s="21" t="s">
        <v>656</v>
      </c>
    </row>
    <row r="27" spans="1:16" x14ac:dyDescent="0.3">
      <c r="A27" s="9" t="s">
        <v>861</v>
      </c>
      <c r="B27" s="10" t="s">
        <v>862</v>
      </c>
      <c r="C27" s="11" t="s">
        <v>863</v>
      </c>
      <c r="D27" s="12" t="s">
        <v>864</v>
      </c>
      <c r="E27" s="12" t="s">
        <v>864</v>
      </c>
      <c r="F27" s="13">
        <v>21078782</v>
      </c>
      <c r="G27" s="14">
        <v>0</v>
      </c>
      <c r="H27" s="9" t="s">
        <v>865</v>
      </c>
      <c r="I27" s="15">
        <v>900406714</v>
      </c>
      <c r="J27" s="16" t="s">
        <v>877</v>
      </c>
      <c r="K27" s="17">
        <v>72</v>
      </c>
      <c r="L27" s="29" t="s">
        <v>2135</v>
      </c>
      <c r="M27" s="19">
        <v>5389</v>
      </c>
      <c r="N27" s="19">
        <f t="shared" ref="N27:N28" si="6">M27*0.19</f>
        <v>1023.91</v>
      </c>
      <c r="O27" s="19">
        <f t="shared" si="1"/>
        <v>461729.52</v>
      </c>
      <c r="P27" s="21" t="s">
        <v>656</v>
      </c>
    </row>
    <row r="28" spans="1:16" x14ac:dyDescent="0.3">
      <c r="A28" s="9" t="s">
        <v>861</v>
      </c>
      <c r="B28" s="10" t="s">
        <v>862</v>
      </c>
      <c r="C28" s="11" t="s">
        <v>863</v>
      </c>
      <c r="D28" s="12" t="s">
        <v>864</v>
      </c>
      <c r="E28" s="12" t="s">
        <v>864</v>
      </c>
      <c r="F28" s="13">
        <v>21078782</v>
      </c>
      <c r="G28" s="14">
        <v>0</v>
      </c>
      <c r="H28" s="9" t="s">
        <v>865</v>
      </c>
      <c r="I28" s="15">
        <v>900406714</v>
      </c>
      <c r="J28" s="16" t="s">
        <v>878</v>
      </c>
      <c r="K28" s="17">
        <v>360</v>
      </c>
      <c r="L28" s="18" t="s">
        <v>53</v>
      </c>
      <c r="M28" s="19">
        <v>15913</v>
      </c>
      <c r="N28" s="19">
        <f t="shared" si="6"/>
        <v>3023.4700000000003</v>
      </c>
      <c r="O28" s="19">
        <f t="shared" si="1"/>
        <v>6817129.2000000002</v>
      </c>
      <c r="P28" s="21" t="s">
        <v>656</v>
      </c>
    </row>
    <row r="29" spans="1:16" x14ac:dyDescent="0.3">
      <c r="A29" s="9" t="s">
        <v>861</v>
      </c>
      <c r="B29" s="10" t="s">
        <v>962</v>
      </c>
      <c r="C29" s="11" t="s">
        <v>963</v>
      </c>
      <c r="D29" s="12">
        <v>44098</v>
      </c>
      <c r="E29" s="12">
        <v>44099</v>
      </c>
      <c r="F29" s="13">
        <v>1637560</v>
      </c>
      <c r="G29" s="14">
        <v>0</v>
      </c>
      <c r="H29" s="9" t="s">
        <v>964</v>
      </c>
      <c r="I29" s="15" t="s">
        <v>544</v>
      </c>
      <c r="J29" s="16" t="s">
        <v>58</v>
      </c>
      <c r="K29" s="17">
        <v>400</v>
      </c>
      <c r="L29" s="29" t="s">
        <v>2135</v>
      </c>
      <c r="M29" s="19">
        <v>2810</v>
      </c>
      <c r="N29" s="19">
        <f>M29*0.19</f>
        <v>533.9</v>
      </c>
      <c r="O29" s="19">
        <f t="shared" si="1"/>
        <v>1337560</v>
      </c>
      <c r="P29" s="21" t="s">
        <v>656</v>
      </c>
    </row>
    <row r="30" spans="1:16" x14ac:dyDescent="0.3">
      <c r="A30" s="9" t="s">
        <v>861</v>
      </c>
      <c r="B30" s="10" t="s">
        <v>989</v>
      </c>
      <c r="C30" s="11" t="s">
        <v>971</v>
      </c>
      <c r="D30" s="12">
        <v>44168</v>
      </c>
      <c r="E30" s="12">
        <v>44172</v>
      </c>
      <c r="F30" s="13">
        <v>7971420</v>
      </c>
      <c r="G30" s="14">
        <v>0</v>
      </c>
      <c r="H30" s="9" t="s">
        <v>964</v>
      </c>
      <c r="I30" s="15" t="s">
        <v>544</v>
      </c>
      <c r="J30" s="16" t="s">
        <v>58</v>
      </c>
      <c r="K30" s="17">
        <v>2000</v>
      </c>
      <c r="L30" s="29" t="s">
        <v>2135</v>
      </c>
      <c r="M30" s="19">
        <v>3349.3361344537798</v>
      </c>
      <c r="N30" s="19">
        <f t="shared" ref="N30:N31" si="7">M30*0.19</f>
        <v>636.37386554621821</v>
      </c>
      <c r="O30" s="19">
        <f t="shared" si="1"/>
        <v>7971419.9999999963</v>
      </c>
      <c r="P30" s="21" t="s">
        <v>656</v>
      </c>
    </row>
    <row r="31" spans="1:16" x14ac:dyDescent="0.3">
      <c r="A31" s="9" t="s">
        <v>1006</v>
      </c>
      <c r="B31" s="10" t="s">
        <v>1007</v>
      </c>
      <c r="C31" s="11" t="s">
        <v>1008</v>
      </c>
      <c r="D31" s="12">
        <v>43909</v>
      </c>
      <c r="E31" s="12">
        <v>43915</v>
      </c>
      <c r="F31" s="13">
        <v>92450981</v>
      </c>
      <c r="G31" s="14">
        <v>0</v>
      </c>
      <c r="H31" s="9" t="s">
        <v>1009</v>
      </c>
      <c r="I31" s="15">
        <v>813005241</v>
      </c>
      <c r="J31" s="16" t="s">
        <v>1880</v>
      </c>
      <c r="K31" s="17">
        <v>1500</v>
      </c>
      <c r="L31" s="29" t="s">
        <v>2135</v>
      </c>
      <c r="M31" s="19">
        <v>6975</v>
      </c>
      <c r="N31" s="19">
        <f t="shared" si="7"/>
        <v>1325.25</v>
      </c>
      <c r="O31" s="19">
        <f t="shared" si="1"/>
        <v>12450375</v>
      </c>
      <c r="P31" s="21" t="s">
        <v>656</v>
      </c>
    </row>
    <row r="32" spans="1:16" x14ac:dyDescent="0.3">
      <c r="A32" s="9" t="s">
        <v>1006</v>
      </c>
      <c r="B32" s="10" t="s">
        <v>1021</v>
      </c>
      <c r="C32" s="11" t="s">
        <v>1022</v>
      </c>
      <c r="D32" s="12">
        <v>43971</v>
      </c>
      <c r="E32" s="12">
        <v>43978</v>
      </c>
      <c r="F32" s="13">
        <v>38340000</v>
      </c>
      <c r="G32" s="14">
        <v>0</v>
      </c>
      <c r="H32" s="9" t="s">
        <v>1009</v>
      </c>
      <c r="I32" s="15">
        <v>813005241</v>
      </c>
      <c r="J32" s="16" t="s">
        <v>1884</v>
      </c>
      <c r="K32" s="17">
        <v>3500</v>
      </c>
      <c r="L32" s="29" t="s">
        <v>2135</v>
      </c>
      <c r="M32" s="19">
        <v>5200</v>
      </c>
      <c r="N32" s="19">
        <v>0</v>
      </c>
      <c r="O32" s="19">
        <f t="shared" si="1"/>
        <v>18200000</v>
      </c>
      <c r="P32" s="21" t="s">
        <v>656</v>
      </c>
    </row>
    <row r="33" spans="1:16" x14ac:dyDescent="0.3">
      <c r="A33" s="9" t="s">
        <v>1006</v>
      </c>
      <c r="B33" s="10" t="s">
        <v>1973</v>
      </c>
      <c r="C33" s="11" t="s">
        <v>1029</v>
      </c>
      <c r="D33" s="12">
        <v>44181</v>
      </c>
      <c r="E33" s="12">
        <v>44181</v>
      </c>
      <c r="F33" s="13">
        <v>48415000</v>
      </c>
      <c r="G33" s="14">
        <v>0</v>
      </c>
      <c r="H33" s="9" t="s">
        <v>964</v>
      </c>
      <c r="I33" s="15">
        <v>830001338</v>
      </c>
      <c r="J33" s="16" t="s">
        <v>58</v>
      </c>
      <c r="K33" s="17">
        <v>11500</v>
      </c>
      <c r="L33" s="29" t="s">
        <v>2135</v>
      </c>
      <c r="M33" s="19">
        <v>2470</v>
      </c>
      <c r="N33" s="19">
        <v>0</v>
      </c>
      <c r="O33" s="19">
        <f t="shared" si="1"/>
        <v>28405000</v>
      </c>
      <c r="P33" s="17" t="s">
        <v>656</v>
      </c>
    </row>
    <row r="34" spans="1:16" x14ac:dyDescent="0.3">
      <c r="A34" s="9" t="s">
        <v>1050</v>
      </c>
      <c r="B34" s="10" t="s">
        <v>1064</v>
      </c>
      <c r="C34" s="11" t="s">
        <v>1065</v>
      </c>
      <c r="D34" s="12">
        <v>43944</v>
      </c>
      <c r="E34" s="12">
        <v>43944</v>
      </c>
      <c r="F34" s="13">
        <v>9241540</v>
      </c>
      <c r="G34" s="14">
        <v>0</v>
      </c>
      <c r="H34" s="9" t="s">
        <v>356</v>
      </c>
      <c r="I34" s="15">
        <v>900300970</v>
      </c>
      <c r="J34" s="16" t="s">
        <v>1066</v>
      </c>
      <c r="K34" s="17">
        <v>2000</v>
      </c>
      <c r="L34" s="29" t="s">
        <v>2135</v>
      </c>
      <c r="M34" s="19">
        <v>3883</v>
      </c>
      <c r="N34" s="19">
        <v>0</v>
      </c>
      <c r="O34" s="19">
        <f t="shared" si="1"/>
        <v>7766000</v>
      </c>
      <c r="P34" s="21" t="s">
        <v>656</v>
      </c>
    </row>
    <row r="35" spans="1:16" x14ac:dyDescent="0.3">
      <c r="A35" s="9" t="s">
        <v>1091</v>
      </c>
      <c r="B35" s="10" t="s">
        <v>2048</v>
      </c>
      <c r="C35" s="11" t="s">
        <v>1096</v>
      </c>
      <c r="D35" s="12">
        <v>43927</v>
      </c>
      <c r="E35" s="12">
        <v>43928</v>
      </c>
      <c r="F35" s="13">
        <v>82970740</v>
      </c>
      <c r="G35" s="14">
        <v>0</v>
      </c>
      <c r="H35" s="9" t="s">
        <v>1097</v>
      </c>
      <c r="I35" s="15">
        <v>59311027</v>
      </c>
      <c r="J35" s="16" t="s">
        <v>1104</v>
      </c>
      <c r="K35" s="17">
        <v>852</v>
      </c>
      <c r="L35" s="18" t="s">
        <v>53</v>
      </c>
      <c r="M35" s="19">
        <v>18250</v>
      </c>
      <c r="N35" s="19">
        <v>0</v>
      </c>
      <c r="O35" s="19">
        <f t="shared" si="1"/>
        <v>15549000</v>
      </c>
      <c r="P35" s="21" t="s">
        <v>656</v>
      </c>
    </row>
    <row r="36" spans="1:16" x14ac:dyDescent="0.3">
      <c r="A36" s="9" t="s">
        <v>1091</v>
      </c>
      <c r="B36" s="10" t="s">
        <v>2048</v>
      </c>
      <c r="C36" s="11" t="s">
        <v>1096</v>
      </c>
      <c r="D36" s="12">
        <v>43927</v>
      </c>
      <c r="E36" s="12">
        <v>43928</v>
      </c>
      <c r="F36" s="13">
        <v>0</v>
      </c>
      <c r="G36" s="14">
        <v>39472098</v>
      </c>
      <c r="H36" s="9" t="s">
        <v>1097</v>
      </c>
      <c r="I36" s="15">
        <v>59311027</v>
      </c>
      <c r="J36" s="16" t="s">
        <v>1104</v>
      </c>
      <c r="K36" s="17">
        <v>720</v>
      </c>
      <c r="L36" s="18" t="s">
        <v>53</v>
      </c>
      <c r="M36" s="19">
        <v>18250</v>
      </c>
      <c r="N36" s="19">
        <v>0</v>
      </c>
      <c r="O36" s="19">
        <f t="shared" si="1"/>
        <v>13140000</v>
      </c>
      <c r="P36" s="21" t="s">
        <v>656</v>
      </c>
    </row>
    <row r="37" spans="1:16" x14ac:dyDescent="0.3">
      <c r="A37" s="9" t="s">
        <v>1091</v>
      </c>
      <c r="B37" s="10" t="s">
        <v>1274</v>
      </c>
      <c r="C37" s="11" t="s">
        <v>1275</v>
      </c>
      <c r="D37" s="12">
        <v>44169</v>
      </c>
      <c r="E37" s="12">
        <v>44169</v>
      </c>
      <c r="F37" s="13">
        <v>6075114</v>
      </c>
      <c r="G37" s="14">
        <v>0</v>
      </c>
      <c r="H37" s="9" t="s">
        <v>271</v>
      </c>
      <c r="I37" s="15">
        <v>19254921</v>
      </c>
      <c r="J37" s="16" t="s">
        <v>1277</v>
      </c>
      <c r="K37" s="17">
        <v>1800</v>
      </c>
      <c r="L37" s="29" t="s">
        <v>2135</v>
      </c>
      <c r="M37" s="19">
        <v>2556.7800000000002</v>
      </c>
      <c r="N37" s="19">
        <f>M37*0.19</f>
        <v>485.78820000000002</v>
      </c>
      <c r="O37" s="19">
        <f t="shared" si="1"/>
        <v>5476622.7600000007</v>
      </c>
      <c r="P37" s="21" t="s">
        <v>656</v>
      </c>
    </row>
    <row r="38" spans="1:16" x14ac:dyDescent="0.3">
      <c r="A38" s="9" t="s">
        <v>1091</v>
      </c>
      <c r="B38" s="10" t="s">
        <v>1284</v>
      </c>
      <c r="C38" s="11" t="s">
        <v>1269</v>
      </c>
      <c r="D38" s="12">
        <v>44176</v>
      </c>
      <c r="E38" s="12">
        <v>44176</v>
      </c>
      <c r="F38" s="13">
        <v>43988134</v>
      </c>
      <c r="G38" s="14">
        <v>0</v>
      </c>
      <c r="H38" s="9" t="s">
        <v>110</v>
      </c>
      <c r="I38" s="15">
        <v>900353659</v>
      </c>
      <c r="J38" s="16" t="s">
        <v>1286</v>
      </c>
      <c r="K38" s="17">
        <v>2800</v>
      </c>
      <c r="L38" s="18" t="s">
        <v>53</v>
      </c>
      <c r="M38" s="19">
        <v>8894.4699999999993</v>
      </c>
      <c r="N38" s="19">
        <f t="shared" ref="N38" si="8">M38*0.19</f>
        <v>1689.9493</v>
      </c>
      <c r="O38" s="19">
        <f t="shared" si="1"/>
        <v>29636374.039999999</v>
      </c>
      <c r="P38" s="21" t="s">
        <v>656</v>
      </c>
    </row>
    <row r="39" spans="1:16" x14ac:dyDescent="0.3">
      <c r="A39" s="9" t="s">
        <v>1291</v>
      </c>
      <c r="B39" s="10" t="s">
        <v>1292</v>
      </c>
      <c r="C39" s="11" t="s">
        <v>1293</v>
      </c>
      <c r="D39" s="12">
        <v>43915</v>
      </c>
      <c r="E39" s="12">
        <v>43916</v>
      </c>
      <c r="F39" s="13">
        <v>79231499</v>
      </c>
      <c r="G39" s="14">
        <v>0</v>
      </c>
      <c r="H39" s="9" t="s">
        <v>1294</v>
      </c>
      <c r="I39" s="15">
        <v>900916649</v>
      </c>
      <c r="J39" s="16" t="s">
        <v>1298</v>
      </c>
      <c r="K39" s="17">
        <v>800</v>
      </c>
      <c r="L39" s="29" t="s">
        <v>2135</v>
      </c>
      <c r="M39" s="19">
        <v>13000</v>
      </c>
      <c r="N39" s="19">
        <v>0</v>
      </c>
      <c r="O39" s="19">
        <f t="shared" si="1"/>
        <v>10400000</v>
      </c>
      <c r="P39" s="21" t="s">
        <v>656</v>
      </c>
    </row>
    <row r="40" spans="1:16" x14ac:dyDescent="0.3">
      <c r="A40" s="9" t="s">
        <v>1291</v>
      </c>
      <c r="B40" s="10">
        <v>49722</v>
      </c>
      <c r="C40" s="11" t="s">
        <v>2307</v>
      </c>
      <c r="D40" s="12">
        <v>43984</v>
      </c>
      <c r="E40" s="12">
        <v>43984</v>
      </c>
      <c r="F40" s="13">
        <v>23734890</v>
      </c>
      <c r="G40" s="14">
        <v>0</v>
      </c>
      <c r="H40" s="9" t="s">
        <v>2172</v>
      </c>
      <c r="I40" s="15">
        <v>830037946</v>
      </c>
      <c r="J40" s="16" t="s">
        <v>2178</v>
      </c>
      <c r="K40" s="17">
        <v>1300</v>
      </c>
      <c r="L40" s="18" t="s">
        <v>2135</v>
      </c>
      <c r="M40" s="19">
        <v>6664</v>
      </c>
      <c r="N40" s="19">
        <v>0</v>
      </c>
      <c r="O40" s="19">
        <f t="shared" si="1"/>
        <v>8663200</v>
      </c>
      <c r="P40" s="17" t="s">
        <v>656</v>
      </c>
    </row>
    <row r="41" spans="1:16" x14ac:dyDescent="0.3">
      <c r="A41" s="9" t="s">
        <v>1291</v>
      </c>
      <c r="B41" s="10">
        <v>62250</v>
      </c>
      <c r="C41" s="11" t="s">
        <v>2231</v>
      </c>
      <c r="D41" s="12">
        <v>44183</v>
      </c>
      <c r="E41" s="12">
        <v>44187</v>
      </c>
      <c r="F41" s="13">
        <v>26775000</v>
      </c>
      <c r="G41" s="14">
        <v>0</v>
      </c>
      <c r="H41" s="9" t="s">
        <v>271</v>
      </c>
      <c r="I41" s="15">
        <v>19254921</v>
      </c>
      <c r="J41" s="16" t="s">
        <v>2232</v>
      </c>
      <c r="K41" s="17">
        <v>9000</v>
      </c>
      <c r="L41" s="18" t="s">
        <v>2135</v>
      </c>
      <c r="M41" s="19">
        <v>2500</v>
      </c>
      <c r="N41" s="19">
        <f>+M41*19%</f>
        <v>475</v>
      </c>
      <c r="O41" s="19">
        <f t="shared" si="1"/>
        <v>26775000</v>
      </c>
      <c r="P41" s="17" t="s">
        <v>656</v>
      </c>
    </row>
    <row r="42" spans="1:16" x14ac:dyDescent="0.3">
      <c r="A42" s="9" t="s">
        <v>1306</v>
      </c>
      <c r="B42" s="10" t="s">
        <v>1350</v>
      </c>
      <c r="C42" s="11" t="s">
        <v>1351</v>
      </c>
      <c r="D42" s="12">
        <v>43917</v>
      </c>
      <c r="E42" s="12">
        <v>43917</v>
      </c>
      <c r="F42" s="13">
        <v>4307800</v>
      </c>
      <c r="G42" s="14">
        <v>0</v>
      </c>
      <c r="H42" s="9" t="s">
        <v>254</v>
      </c>
      <c r="I42" s="15">
        <v>830037946</v>
      </c>
      <c r="J42" s="16" t="s">
        <v>1352</v>
      </c>
      <c r="K42" s="17">
        <v>200</v>
      </c>
      <c r="L42" s="18" t="s">
        <v>53</v>
      </c>
      <c r="M42" s="19">
        <v>21539</v>
      </c>
      <c r="N42" s="19">
        <v>0</v>
      </c>
      <c r="O42" s="19">
        <f t="shared" si="1"/>
        <v>4307800</v>
      </c>
      <c r="P42" s="21" t="s">
        <v>656</v>
      </c>
    </row>
    <row r="43" spans="1:16" x14ac:dyDescent="0.3">
      <c r="A43" s="9" t="s">
        <v>1306</v>
      </c>
      <c r="B43" s="10" t="s">
        <v>2061</v>
      </c>
      <c r="C43" s="11" t="s">
        <v>1374</v>
      </c>
      <c r="D43" s="12">
        <v>43973</v>
      </c>
      <c r="E43" s="12">
        <v>43973</v>
      </c>
      <c r="F43" s="13">
        <v>15534230</v>
      </c>
      <c r="G43" s="14">
        <v>0</v>
      </c>
      <c r="H43" s="9" t="s">
        <v>359</v>
      </c>
      <c r="I43" s="15">
        <v>900704052</v>
      </c>
      <c r="J43" s="16" t="s">
        <v>58</v>
      </c>
      <c r="K43" s="17">
        <v>3065</v>
      </c>
      <c r="L43" s="29" t="s">
        <v>2135</v>
      </c>
      <c r="M43" s="19">
        <v>5068.2642740619904</v>
      </c>
      <c r="N43" s="19">
        <v>0</v>
      </c>
      <c r="O43" s="19">
        <f t="shared" si="1"/>
        <v>15534230</v>
      </c>
      <c r="P43" s="21" t="s">
        <v>656</v>
      </c>
    </row>
    <row r="44" spans="1:16" x14ac:dyDescent="0.3">
      <c r="A44" s="9" t="s">
        <v>1306</v>
      </c>
      <c r="B44" s="10" t="s">
        <v>1411</v>
      </c>
      <c r="C44" s="11" t="s">
        <v>1412</v>
      </c>
      <c r="D44" s="12">
        <v>44169</v>
      </c>
      <c r="E44" s="12">
        <v>44169</v>
      </c>
      <c r="F44" s="13">
        <v>31073520</v>
      </c>
      <c r="G44" s="14">
        <v>0</v>
      </c>
      <c r="H44" s="9" t="s">
        <v>271</v>
      </c>
      <c r="I44" s="15" t="s">
        <v>1413</v>
      </c>
      <c r="J44" s="16" t="s">
        <v>1925</v>
      </c>
      <c r="K44" s="17">
        <v>8800</v>
      </c>
      <c r="L44" s="29" t="s">
        <v>2135</v>
      </c>
      <c r="M44" s="19">
        <v>2910</v>
      </c>
      <c r="N44" s="19">
        <f>M44*0.19</f>
        <v>552.9</v>
      </c>
      <c r="O44" s="19">
        <f t="shared" si="1"/>
        <v>30473520</v>
      </c>
      <c r="P44" s="21" t="s">
        <v>656</v>
      </c>
    </row>
    <row r="45" spans="1:16" x14ac:dyDescent="0.3">
      <c r="A45" s="9" t="s">
        <v>1437</v>
      </c>
      <c r="B45" s="10" t="s">
        <v>2070</v>
      </c>
      <c r="C45" s="11" t="s">
        <v>1438</v>
      </c>
      <c r="D45" s="12">
        <v>43477</v>
      </c>
      <c r="E45" s="12">
        <v>43800</v>
      </c>
      <c r="F45" s="13">
        <v>0</v>
      </c>
      <c r="G45" s="14">
        <v>67434392</v>
      </c>
      <c r="H45" s="9" t="s">
        <v>1439</v>
      </c>
      <c r="I45" s="15">
        <v>811044253</v>
      </c>
      <c r="J45" s="16" t="s">
        <v>1443</v>
      </c>
      <c r="K45" s="17">
        <f>346/3</f>
        <v>115.33333333333333</v>
      </c>
      <c r="L45" s="29" t="s">
        <v>2135</v>
      </c>
      <c r="M45" s="19">
        <v>15600</v>
      </c>
      <c r="N45" s="19">
        <v>0</v>
      </c>
      <c r="O45" s="19">
        <f t="shared" si="1"/>
        <v>1799200</v>
      </c>
      <c r="P45" s="21" t="s">
        <v>656</v>
      </c>
    </row>
    <row r="46" spans="1:16" x14ac:dyDescent="0.3">
      <c r="A46" s="9" t="s">
        <v>1437</v>
      </c>
      <c r="B46" s="10" t="s">
        <v>2074</v>
      </c>
      <c r="C46" s="11" t="s">
        <v>1824</v>
      </c>
      <c r="D46" s="12">
        <v>44155</v>
      </c>
      <c r="E46" s="12">
        <v>44155</v>
      </c>
      <c r="F46" s="13">
        <v>15004982.41</v>
      </c>
      <c r="G46" s="14">
        <v>0</v>
      </c>
      <c r="H46" s="9" t="s">
        <v>1462</v>
      </c>
      <c r="I46" s="15" t="s">
        <v>1413</v>
      </c>
      <c r="J46" s="16" t="s">
        <v>1464</v>
      </c>
      <c r="K46" s="17">
        <v>2000</v>
      </c>
      <c r="L46" s="29" t="s">
        <v>2135</v>
      </c>
      <c r="M46" s="19">
        <v>3199.54</v>
      </c>
      <c r="N46" s="19">
        <f>M46*0.19</f>
        <v>607.9126</v>
      </c>
      <c r="O46" s="19">
        <f t="shared" si="1"/>
        <v>7614905.2000000002</v>
      </c>
      <c r="P46" s="17" t="s">
        <v>656</v>
      </c>
    </row>
    <row r="47" spans="1:16" x14ac:dyDescent="0.3">
      <c r="A47" s="9" t="s">
        <v>1472</v>
      </c>
      <c r="B47" s="10" t="s">
        <v>1473</v>
      </c>
      <c r="C47" s="11" t="s">
        <v>1474</v>
      </c>
      <c r="D47" s="12">
        <v>43914</v>
      </c>
      <c r="E47" s="12">
        <v>43914</v>
      </c>
      <c r="F47" s="13">
        <v>19313663</v>
      </c>
      <c r="G47" s="14">
        <v>0</v>
      </c>
      <c r="H47" s="9" t="s">
        <v>1475</v>
      </c>
      <c r="I47" s="15">
        <v>92511814</v>
      </c>
      <c r="J47" s="16" t="s">
        <v>1478</v>
      </c>
      <c r="K47" s="17">
        <v>120</v>
      </c>
      <c r="L47" s="29" t="s">
        <v>2135</v>
      </c>
      <c r="M47" s="19">
        <v>14000</v>
      </c>
      <c r="N47" s="19">
        <f t="shared" ref="N47" si="9">M47*0.19</f>
        <v>2660</v>
      </c>
      <c r="O47" s="19">
        <f t="shared" si="1"/>
        <v>1999200</v>
      </c>
      <c r="P47" s="21" t="s">
        <v>656</v>
      </c>
    </row>
    <row r="48" spans="1:16" x14ac:dyDescent="0.3">
      <c r="A48" s="9" t="s">
        <v>1472</v>
      </c>
      <c r="B48" s="10" t="s">
        <v>1536</v>
      </c>
      <c r="C48" s="11" t="s">
        <v>1537</v>
      </c>
      <c r="D48" s="12">
        <v>43986</v>
      </c>
      <c r="E48" s="12">
        <v>43986</v>
      </c>
      <c r="F48" s="13">
        <v>12492569</v>
      </c>
      <c r="G48" s="14">
        <v>0</v>
      </c>
      <c r="H48" s="9" t="s">
        <v>68</v>
      </c>
      <c r="I48" s="15">
        <v>900350133</v>
      </c>
      <c r="J48" s="16" t="s">
        <v>1538</v>
      </c>
      <c r="K48" s="17">
        <v>1568</v>
      </c>
      <c r="L48" s="29" t="s">
        <v>2135</v>
      </c>
      <c r="M48" s="19">
        <v>5212.7700000000004</v>
      </c>
      <c r="N48" s="19">
        <f>M48*0.19</f>
        <v>990.42630000000008</v>
      </c>
      <c r="O48" s="19">
        <f t="shared" si="1"/>
        <v>9726611.7984000016</v>
      </c>
      <c r="P48" s="21" t="s">
        <v>656</v>
      </c>
    </row>
    <row r="49" spans="1:16" x14ac:dyDescent="0.3">
      <c r="A49" s="9" t="s">
        <v>1472</v>
      </c>
      <c r="B49" s="10" t="s">
        <v>1561</v>
      </c>
      <c r="C49" s="11" t="s">
        <v>1562</v>
      </c>
      <c r="D49" s="12">
        <v>43770</v>
      </c>
      <c r="E49" s="12">
        <v>43980</v>
      </c>
      <c r="F49" s="13">
        <v>0</v>
      </c>
      <c r="G49" s="14">
        <v>31068000</v>
      </c>
      <c r="H49" s="9" t="s">
        <v>1563</v>
      </c>
      <c r="I49" s="15">
        <v>812000152</v>
      </c>
      <c r="J49" s="16" t="s">
        <v>1538</v>
      </c>
      <c r="K49" s="17">
        <v>672</v>
      </c>
      <c r="L49" s="29" t="s">
        <v>2135</v>
      </c>
      <c r="M49" s="19">
        <v>4000</v>
      </c>
      <c r="N49" s="19">
        <v>0</v>
      </c>
      <c r="O49" s="19">
        <f t="shared" si="1"/>
        <v>2688000</v>
      </c>
      <c r="P49" s="21" t="s">
        <v>656</v>
      </c>
    </row>
    <row r="50" spans="1:16" x14ac:dyDescent="0.3">
      <c r="A50" s="9" t="s">
        <v>1571</v>
      </c>
      <c r="B50" s="10" t="s">
        <v>2081</v>
      </c>
      <c r="C50" s="11" t="s">
        <v>1582</v>
      </c>
      <c r="D50" s="12">
        <v>43964</v>
      </c>
      <c r="E50" s="12">
        <v>43966</v>
      </c>
      <c r="F50" s="13">
        <v>7796118</v>
      </c>
      <c r="G50" s="14">
        <v>0</v>
      </c>
      <c r="H50" s="9" t="s">
        <v>1945</v>
      </c>
      <c r="I50" s="15">
        <v>900311030</v>
      </c>
      <c r="J50" s="16" t="s">
        <v>1583</v>
      </c>
      <c r="K50" s="17">
        <v>1254</v>
      </c>
      <c r="L50" s="29" t="s">
        <v>2135</v>
      </c>
      <c r="M50" s="19">
        <v>6216.9999989999997</v>
      </c>
      <c r="N50" s="19">
        <v>0</v>
      </c>
      <c r="O50" s="19">
        <f t="shared" si="1"/>
        <v>7796117.9987459993</v>
      </c>
      <c r="P50" s="21" t="s">
        <v>656</v>
      </c>
    </row>
    <row r="51" spans="1:16" x14ac:dyDescent="0.3">
      <c r="A51" s="9" t="s">
        <v>1571</v>
      </c>
      <c r="B51" s="10" t="s">
        <v>2104</v>
      </c>
      <c r="C51" s="11" t="s">
        <v>1828</v>
      </c>
      <c r="D51" s="12">
        <v>44099</v>
      </c>
      <c r="E51" s="12">
        <v>44099</v>
      </c>
      <c r="F51" s="13">
        <v>32218793.190000001</v>
      </c>
      <c r="G51" s="14">
        <v>0</v>
      </c>
      <c r="H51" s="9" t="s">
        <v>964</v>
      </c>
      <c r="I51" s="15">
        <v>8300013381</v>
      </c>
      <c r="J51" s="16" t="s">
        <v>1583</v>
      </c>
      <c r="K51" s="17">
        <v>1200</v>
      </c>
      <c r="L51" s="29" t="s">
        <v>2135</v>
      </c>
      <c r="M51" s="19">
        <v>2838.38</v>
      </c>
      <c r="N51" s="19">
        <f>M51*0.19</f>
        <v>539.29219999999998</v>
      </c>
      <c r="O51" s="19">
        <f t="shared" si="1"/>
        <v>4053206.64</v>
      </c>
      <c r="P51" s="21" t="s">
        <v>656</v>
      </c>
    </row>
    <row r="52" spans="1:16" x14ac:dyDescent="0.3">
      <c r="A52" s="9" t="s">
        <v>1629</v>
      </c>
      <c r="B52" s="10" t="s">
        <v>1642</v>
      </c>
      <c r="C52" s="11" t="s">
        <v>1643</v>
      </c>
      <c r="D52" s="12">
        <v>43955</v>
      </c>
      <c r="E52" s="12">
        <v>43955</v>
      </c>
      <c r="F52" s="13">
        <v>12251660.609999999</v>
      </c>
      <c r="G52" s="14">
        <v>0</v>
      </c>
      <c r="H52" s="9" t="s">
        <v>60</v>
      </c>
      <c r="I52" s="15">
        <v>83001338</v>
      </c>
      <c r="J52" s="16" t="s">
        <v>1644</v>
      </c>
      <c r="K52" s="17">
        <v>1310</v>
      </c>
      <c r="L52" s="29" t="s">
        <v>2135</v>
      </c>
      <c r="M52" s="19">
        <v>5880.21</v>
      </c>
      <c r="N52" s="19">
        <f>M52*0.19</f>
        <v>1117.2399</v>
      </c>
      <c r="O52" s="19">
        <f t="shared" si="1"/>
        <v>9166659.368999999</v>
      </c>
      <c r="P52" s="21" t="s">
        <v>656</v>
      </c>
    </row>
    <row r="53" spans="1:16" x14ac:dyDescent="0.3">
      <c r="A53" s="9" t="s">
        <v>1629</v>
      </c>
      <c r="B53" s="10" t="s">
        <v>2131</v>
      </c>
      <c r="C53" s="11" t="s">
        <v>1843</v>
      </c>
      <c r="D53" s="12">
        <v>44178</v>
      </c>
      <c r="E53" s="12">
        <v>44193</v>
      </c>
      <c r="F53" s="13">
        <v>16860000</v>
      </c>
      <c r="G53" s="14">
        <v>0</v>
      </c>
      <c r="H53" s="9" t="s">
        <v>1462</v>
      </c>
      <c r="I53" s="15">
        <v>19254921</v>
      </c>
      <c r="J53" s="16" t="s">
        <v>1689</v>
      </c>
      <c r="K53" s="17">
        <v>2000</v>
      </c>
      <c r="L53" s="29" t="s">
        <v>2135</v>
      </c>
      <c r="M53" s="19">
        <v>2500</v>
      </c>
      <c r="N53" s="19">
        <f t="shared" ref="N53:N54" si="10">M53*0.19</f>
        <v>475</v>
      </c>
      <c r="O53" s="19">
        <f t="shared" si="1"/>
        <v>5950000</v>
      </c>
      <c r="P53" s="21" t="s">
        <v>656</v>
      </c>
    </row>
    <row r="54" spans="1:16" x14ac:dyDescent="0.3">
      <c r="A54" s="9" t="s">
        <v>1629</v>
      </c>
      <c r="B54" s="10" t="s">
        <v>2133</v>
      </c>
      <c r="C54" s="11" t="s">
        <v>1845</v>
      </c>
      <c r="D54" s="12">
        <v>44178</v>
      </c>
      <c r="E54" s="12">
        <v>44193</v>
      </c>
      <c r="F54" s="13">
        <v>11779699.449999999</v>
      </c>
      <c r="G54" s="14">
        <v>0</v>
      </c>
      <c r="H54" s="9" t="s">
        <v>1462</v>
      </c>
      <c r="I54" s="15">
        <v>19254921</v>
      </c>
      <c r="J54" s="16" t="s">
        <v>1691</v>
      </c>
      <c r="K54" s="17">
        <v>1500</v>
      </c>
      <c r="L54" s="29" t="s">
        <v>2135</v>
      </c>
      <c r="M54" s="19">
        <v>2604.17</v>
      </c>
      <c r="N54" s="19">
        <f t="shared" si="10"/>
        <v>494.79230000000001</v>
      </c>
      <c r="O54" s="19">
        <f t="shared" si="1"/>
        <v>4648443.45</v>
      </c>
      <c r="P54" s="21" t="s">
        <v>656</v>
      </c>
    </row>
    <row r="55" spans="1:16" x14ac:dyDescent="0.3">
      <c r="A55" s="9" t="s">
        <v>1692</v>
      </c>
      <c r="B55" s="10" t="s">
        <v>1707</v>
      </c>
      <c r="C55" s="11" t="s">
        <v>1708</v>
      </c>
      <c r="D55" s="12">
        <v>43965</v>
      </c>
      <c r="E55" s="12">
        <v>43965</v>
      </c>
      <c r="F55" s="13">
        <v>6139500</v>
      </c>
      <c r="G55" s="14">
        <v>0</v>
      </c>
      <c r="H55" s="9" t="s">
        <v>356</v>
      </c>
      <c r="I55" s="15">
        <v>900300970</v>
      </c>
      <c r="J55" s="16" t="s">
        <v>1710</v>
      </c>
      <c r="K55" s="17">
        <v>500</v>
      </c>
      <c r="L55" s="29" t="s">
        <v>2135</v>
      </c>
      <c r="M55" s="19">
        <v>5100</v>
      </c>
      <c r="N55" s="19">
        <f>M55*0.19</f>
        <v>969</v>
      </c>
      <c r="O55" s="19">
        <f t="shared" si="1"/>
        <v>3034500</v>
      </c>
      <c r="P55" s="21" t="s">
        <v>656</v>
      </c>
    </row>
    <row r="56" spans="1:16" x14ac:dyDescent="0.3">
      <c r="A56" s="9" t="s">
        <v>1692</v>
      </c>
      <c r="B56" s="10" t="s">
        <v>2148</v>
      </c>
      <c r="C56" s="11" t="s">
        <v>2162</v>
      </c>
      <c r="D56" s="12">
        <v>44161</v>
      </c>
      <c r="E56" s="12">
        <v>44161</v>
      </c>
      <c r="F56" s="13">
        <v>950992.34</v>
      </c>
      <c r="G56" s="14">
        <v>0</v>
      </c>
      <c r="H56" s="9" t="s">
        <v>271</v>
      </c>
      <c r="I56" s="15">
        <v>192549218</v>
      </c>
      <c r="J56" s="16" t="s">
        <v>58</v>
      </c>
      <c r="K56" s="17">
        <v>214</v>
      </c>
      <c r="L56" s="29" t="s">
        <v>2135</v>
      </c>
      <c r="M56" s="19">
        <v>2949</v>
      </c>
      <c r="N56" s="19">
        <f>M56*0.19</f>
        <v>560.31000000000006</v>
      </c>
      <c r="O56" s="19">
        <f>K56*(M56+N56)</f>
        <v>750992.34</v>
      </c>
      <c r="P56" s="17" t="s">
        <v>656</v>
      </c>
    </row>
  </sheetData>
  <dataValidations count="16">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4:I5 A2:A3 E50 E23:E28 E45:E46 E42 E32 A4:B5 D6:E6 E10 E12:E15 E48 G53:G54">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10 D23:D28 D43:E43 D39:E39 D12:D15 D21 D32 D42 E47 D45:D48 D5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39 F23:F28 F21 F10 F14 F12 F32 F45:F48 F5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10:A31 A39:A41 A47:A48">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2 I10 I27:I28 I22:I25 I41 I50 I12 I46 I52 I55:I5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46:H47 H18 H41 H21:H32 H50 H10 H12 H14 H39 H52 H5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1 B10 B39 B18 B23:B32 B12:B14 B46:B48">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18:E18 D22:E22 D29:E31 D33:E38 D2:E2 D16:E16 D52:E52 D53:D54 D55:E56">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C18">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39 G19:G20 G4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20 B16 B22 B53:B56">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29:F31 F16 F22 F44 F52 F5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14 I39">
      <formula1>-99999999999</formula1>
      <formula2>99999999999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E53:E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A55">
      <formula1>0</formula1>
      <formula2>390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E21">
      <formula1>1900/1/1</formula1>
      <formula2>3000/1/1</formula2>
    </dataValidation>
  </dataValidations>
  <hyperlinks>
    <hyperlink ref="H56" r:id="rId1" display="https://colombiacompra.coupahost.com/suppliers/show/938"/>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1981</v>
      </c>
      <c r="C2" s="11" t="s">
        <v>18</v>
      </c>
      <c r="D2" s="12">
        <v>43910</v>
      </c>
      <c r="E2" s="12">
        <v>43910</v>
      </c>
      <c r="F2" s="13">
        <v>2573970</v>
      </c>
      <c r="G2" s="14">
        <v>0</v>
      </c>
      <c r="H2" s="9" t="s">
        <v>19</v>
      </c>
      <c r="I2" s="15">
        <v>901095058</v>
      </c>
      <c r="J2" s="16" t="s">
        <v>20</v>
      </c>
      <c r="K2" s="17">
        <v>100</v>
      </c>
      <c r="L2" s="18" t="s">
        <v>21</v>
      </c>
      <c r="M2" s="19">
        <v>15700</v>
      </c>
      <c r="N2" s="19">
        <f>M2*0.19</f>
        <v>2983</v>
      </c>
      <c r="O2" s="19">
        <f>K2*(M2+N2)</f>
        <v>1868300</v>
      </c>
      <c r="P2" s="17" t="s">
        <v>22</v>
      </c>
    </row>
    <row r="3" spans="1:16" x14ac:dyDescent="0.3">
      <c r="A3" s="9" t="s">
        <v>138</v>
      </c>
      <c r="B3" s="10" t="s">
        <v>139</v>
      </c>
      <c r="C3" s="28" t="s">
        <v>140</v>
      </c>
      <c r="D3" s="12">
        <v>43908</v>
      </c>
      <c r="E3" s="12">
        <v>43908</v>
      </c>
      <c r="F3" s="13">
        <v>7176804</v>
      </c>
      <c r="G3" s="14">
        <v>0</v>
      </c>
      <c r="H3" s="9" t="s">
        <v>141</v>
      </c>
      <c r="I3" s="15">
        <v>800031358</v>
      </c>
      <c r="J3" s="16" t="s">
        <v>149</v>
      </c>
      <c r="K3" s="17">
        <v>100</v>
      </c>
      <c r="L3" s="29" t="s">
        <v>21</v>
      </c>
      <c r="M3" s="19">
        <v>13345.000000000002</v>
      </c>
      <c r="N3" s="19">
        <f t="shared" ref="N3" si="0">M3*0.19</f>
        <v>2535.5500000000002</v>
      </c>
      <c r="O3" s="19">
        <f t="shared" ref="O3:O6" si="1">K3*(M3+N3)</f>
        <v>1588055.0000000002</v>
      </c>
      <c r="P3" s="21" t="s">
        <v>22</v>
      </c>
    </row>
    <row r="4" spans="1:16" x14ac:dyDescent="0.3">
      <c r="A4" s="9" t="s">
        <v>196</v>
      </c>
      <c r="B4" s="10" t="s">
        <v>181</v>
      </c>
      <c r="C4" s="11" t="s">
        <v>230</v>
      </c>
      <c r="D4" s="12">
        <v>43978</v>
      </c>
      <c r="E4" s="12">
        <v>43980</v>
      </c>
      <c r="F4" s="13">
        <v>418175000</v>
      </c>
      <c r="G4" s="14">
        <v>0</v>
      </c>
      <c r="H4" s="9" t="s">
        <v>231</v>
      </c>
      <c r="I4" s="15">
        <v>900053297</v>
      </c>
      <c r="J4" s="16" t="s">
        <v>234</v>
      </c>
      <c r="K4" s="17">
        <v>100</v>
      </c>
      <c r="L4" s="18" t="s">
        <v>21</v>
      </c>
      <c r="M4" s="19">
        <v>34900</v>
      </c>
      <c r="N4" s="19">
        <v>0</v>
      </c>
      <c r="O4" s="19">
        <f t="shared" si="1"/>
        <v>3490000</v>
      </c>
      <c r="P4" s="17" t="s">
        <v>22</v>
      </c>
    </row>
    <row r="5" spans="1:16" x14ac:dyDescent="0.3">
      <c r="A5" s="9" t="s">
        <v>284</v>
      </c>
      <c r="B5" s="10" t="s">
        <v>285</v>
      </c>
      <c r="C5" s="11" t="s">
        <v>286</v>
      </c>
      <c r="D5" s="12">
        <v>43907</v>
      </c>
      <c r="E5" s="12">
        <v>43908</v>
      </c>
      <c r="F5" s="13">
        <v>25281431</v>
      </c>
      <c r="G5" s="14">
        <v>0</v>
      </c>
      <c r="H5" s="9" t="s">
        <v>19</v>
      </c>
      <c r="I5" s="15">
        <v>901095058</v>
      </c>
      <c r="J5" s="16" t="s">
        <v>287</v>
      </c>
      <c r="K5" s="17">
        <v>1350</v>
      </c>
      <c r="L5" s="18" t="s">
        <v>21</v>
      </c>
      <c r="M5" s="19">
        <v>15374</v>
      </c>
      <c r="N5" s="19">
        <f t="shared" ref="N5" si="2">M5*0.19</f>
        <v>2921.06</v>
      </c>
      <c r="O5" s="19">
        <f t="shared" si="1"/>
        <v>24698331</v>
      </c>
      <c r="P5" s="17" t="s">
        <v>22</v>
      </c>
    </row>
    <row r="6" spans="1:16" x14ac:dyDescent="0.3">
      <c r="A6" s="9" t="s">
        <v>402</v>
      </c>
      <c r="B6" s="10" t="s">
        <v>408</v>
      </c>
      <c r="C6" s="11" t="s">
        <v>415</v>
      </c>
      <c r="D6" s="12">
        <v>43916</v>
      </c>
      <c r="E6" s="12">
        <v>43917</v>
      </c>
      <c r="F6" s="13">
        <v>21397390</v>
      </c>
      <c r="G6" s="14">
        <v>0</v>
      </c>
      <c r="H6" s="9" t="s">
        <v>410</v>
      </c>
      <c r="I6" s="15">
        <v>901165706</v>
      </c>
      <c r="J6" s="16" t="s">
        <v>416</v>
      </c>
      <c r="K6" s="17">
        <v>100</v>
      </c>
      <c r="L6" s="18" t="s">
        <v>21</v>
      </c>
      <c r="M6" s="19">
        <v>44030</v>
      </c>
      <c r="N6" s="19">
        <v>0</v>
      </c>
      <c r="O6" s="19">
        <f t="shared" si="1"/>
        <v>4403000</v>
      </c>
      <c r="P6" s="17" t="s">
        <v>22</v>
      </c>
    </row>
    <row r="7" spans="1:16" x14ac:dyDescent="0.3">
      <c r="A7" s="9" t="s">
        <v>472</v>
      </c>
      <c r="B7" s="10" t="s">
        <v>473</v>
      </c>
      <c r="C7" s="11" t="s">
        <v>474</v>
      </c>
      <c r="D7" s="12">
        <v>43909</v>
      </c>
      <c r="E7" s="12">
        <v>43909</v>
      </c>
      <c r="F7" s="13">
        <v>14411127</v>
      </c>
      <c r="G7" s="14">
        <v>0</v>
      </c>
      <c r="H7" s="9" t="s">
        <v>19</v>
      </c>
      <c r="I7" s="15">
        <v>901095058</v>
      </c>
      <c r="J7" s="16" t="s">
        <v>475</v>
      </c>
      <c r="K7" s="17">
        <v>815</v>
      </c>
      <c r="L7" s="18" t="s">
        <v>21</v>
      </c>
      <c r="M7" s="19">
        <v>14859.129916997474</v>
      </c>
      <c r="N7" s="19">
        <f>M7*0.19</f>
        <v>2823.2346842295201</v>
      </c>
      <c r="O7" s="19">
        <f>K7*(M7+N7)</f>
        <v>14411127.149999999</v>
      </c>
      <c r="P7" s="17" t="s">
        <v>22</v>
      </c>
    </row>
    <row r="8" spans="1:16" x14ac:dyDescent="0.3">
      <c r="A8" s="9" t="s">
        <v>657</v>
      </c>
      <c r="B8" s="10" t="s">
        <v>658</v>
      </c>
      <c r="C8" s="11" t="s">
        <v>659</v>
      </c>
      <c r="D8" s="12">
        <v>43917</v>
      </c>
      <c r="E8" s="12">
        <v>43917</v>
      </c>
      <c r="F8" s="13">
        <v>4000000</v>
      </c>
      <c r="G8" s="14">
        <v>0</v>
      </c>
      <c r="H8" s="9" t="s">
        <v>660</v>
      </c>
      <c r="I8" s="15">
        <v>813005241</v>
      </c>
      <c r="J8" s="16" t="s">
        <v>661</v>
      </c>
      <c r="K8" s="17">
        <v>200</v>
      </c>
      <c r="L8" s="18" t="s">
        <v>21</v>
      </c>
      <c r="M8" s="19">
        <v>16806.72</v>
      </c>
      <c r="N8" s="19">
        <f>M8*0.19</f>
        <v>3193.2768000000001</v>
      </c>
      <c r="O8" s="19">
        <f t="shared" ref="O8:O23" si="3">K8*(M8+N8)</f>
        <v>3999999.3600000003</v>
      </c>
      <c r="P8" s="17" t="s">
        <v>22</v>
      </c>
    </row>
    <row r="9" spans="1:16" x14ac:dyDescent="0.3">
      <c r="A9" s="9" t="s">
        <v>690</v>
      </c>
      <c r="B9" s="10" t="s">
        <v>691</v>
      </c>
      <c r="C9" s="11" t="s">
        <v>692</v>
      </c>
      <c r="D9" s="12">
        <v>43910</v>
      </c>
      <c r="E9" s="12">
        <v>43910</v>
      </c>
      <c r="F9" s="13">
        <v>3689000</v>
      </c>
      <c r="G9" s="14">
        <v>0</v>
      </c>
      <c r="H9" s="9" t="s">
        <v>693</v>
      </c>
      <c r="I9" s="15">
        <v>901095058</v>
      </c>
      <c r="J9" s="16" t="s">
        <v>694</v>
      </c>
      <c r="K9" s="17">
        <v>200</v>
      </c>
      <c r="L9" s="18" t="s">
        <v>21</v>
      </c>
      <c r="M9" s="19">
        <v>15500</v>
      </c>
      <c r="N9" s="19">
        <f t="shared" ref="N9:N13" si="4">M9*0.19</f>
        <v>2945</v>
      </c>
      <c r="O9" s="19">
        <f t="shared" si="3"/>
        <v>3689000</v>
      </c>
      <c r="P9" s="17" t="s">
        <v>22</v>
      </c>
    </row>
    <row r="10" spans="1:16" x14ac:dyDescent="0.3">
      <c r="A10" s="9" t="s">
        <v>690</v>
      </c>
      <c r="B10" s="10" t="s">
        <v>702</v>
      </c>
      <c r="C10" s="11" t="s">
        <v>703</v>
      </c>
      <c r="D10" s="12">
        <v>43923</v>
      </c>
      <c r="E10" s="12">
        <v>43923</v>
      </c>
      <c r="F10" s="13">
        <v>4307800</v>
      </c>
      <c r="G10" s="14">
        <v>0</v>
      </c>
      <c r="H10" s="9" t="s">
        <v>693</v>
      </c>
      <c r="I10" s="15">
        <v>901095058</v>
      </c>
      <c r="J10" s="16" t="s">
        <v>704</v>
      </c>
      <c r="K10" s="17">
        <v>100</v>
      </c>
      <c r="L10" s="18" t="s">
        <v>21</v>
      </c>
      <c r="M10" s="19">
        <v>35000</v>
      </c>
      <c r="N10" s="19">
        <f t="shared" si="4"/>
        <v>6650</v>
      </c>
      <c r="O10" s="19">
        <f t="shared" si="3"/>
        <v>4165000</v>
      </c>
      <c r="P10" s="17" t="s">
        <v>22</v>
      </c>
    </row>
    <row r="11" spans="1:16" x14ac:dyDescent="0.3">
      <c r="A11" s="9" t="s">
        <v>861</v>
      </c>
      <c r="B11" s="10" t="s">
        <v>862</v>
      </c>
      <c r="C11" s="11" t="s">
        <v>863</v>
      </c>
      <c r="D11" s="12" t="s">
        <v>864</v>
      </c>
      <c r="E11" s="12" t="s">
        <v>864</v>
      </c>
      <c r="F11" s="13">
        <v>21078782</v>
      </c>
      <c r="G11" s="14">
        <v>0</v>
      </c>
      <c r="H11" s="9" t="s">
        <v>865</v>
      </c>
      <c r="I11" s="15">
        <v>900406714</v>
      </c>
      <c r="J11" s="16" t="s">
        <v>882</v>
      </c>
      <c r="K11" s="17">
        <v>300</v>
      </c>
      <c r="L11" s="18" t="s">
        <v>21</v>
      </c>
      <c r="M11" s="19">
        <v>10650</v>
      </c>
      <c r="N11" s="19">
        <f t="shared" si="4"/>
        <v>2023.5</v>
      </c>
      <c r="O11" s="19">
        <f t="shared" si="3"/>
        <v>3802050</v>
      </c>
      <c r="P11" s="17" t="s">
        <v>22</v>
      </c>
    </row>
    <row r="12" spans="1:16" x14ac:dyDescent="0.3">
      <c r="A12" s="9" t="s">
        <v>861</v>
      </c>
      <c r="B12" s="10" t="s">
        <v>900</v>
      </c>
      <c r="C12" s="11" t="s">
        <v>884</v>
      </c>
      <c r="D12" s="12">
        <v>43938</v>
      </c>
      <c r="E12" s="12">
        <v>43938</v>
      </c>
      <c r="F12" s="13">
        <v>12500000</v>
      </c>
      <c r="G12" s="14">
        <v>0</v>
      </c>
      <c r="H12" s="9" t="s">
        <v>901</v>
      </c>
      <c r="I12" s="15">
        <v>901212927</v>
      </c>
      <c r="J12" s="16" t="s">
        <v>902</v>
      </c>
      <c r="K12" s="17">
        <v>500</v>
      </c>
      <c r="L12" s="18" t="s">
        <v>21</v>
      </c>
      <c r="M12" s="19">
        <v>21008.403399999999</v>
      </c>
      <c r="N12" s="19">
        <f t="shared" si="4"/>
        <v>3991.596646</v>
      </c>
      <c r="O12" s="19">
        <f t="shared" si="3"/>
        <v>12500000.023</v>
      </c>
      <c r="P12" s="17" t="s">
        <v>22</v>
      </c>
    </row>
    <row r="13" spans="1:16" x14ac:dyDescent="0.3">
      <c r="A13" s="9" t="s">
        <v>1006</v>
      </c>
      <c r="B13" s="10" t="s">
        <v>1007</v>
      </c>
      <c r="C13" s="11" t="s">
        <v>1008</v>
      </c>
      <c r="D13" s="12">
        <v>43909</v>
      </c>
      <c r="E13" s="12">
        <v>43915</v>
      </c>
      <c r="F13" s="13">
        <v>92450981</v>
      </c>
      <c r="G13" s="14">
        <v>0</v>
      </c>
      <c r="H13" s="9" t="s">
        <v>1009</v>
      </c>
      <c r="I13" s="15">
        <v>813005241</v>
      </c>
      <c r="J13" s="16" t="s">
        <v>1010</v>
      </c>
      <c r="K13" s="17">
        <v>400</v>
      </c>
      <c r="L13" s="18" t="s">
        <v>21</v>
      </c>
      <c r="M13" s="19">
        <v>16807</v>
      </c>
      <c r="N13" s="19">
        <f t="shared" si="4"/>
        <v>3193.33</v>
      </c>
      <c r="O13" s="19">
        <f t="shared" si="3"/>
        <v>8000132.0000000009</v>
      </c>
      <c r="P13" s="17" t="s">
        <v>22</v>
      </c>
    </row>
    <row r="14" spans="1:16" x14ac:dyDescent="0.3">
      <c r="A14" s="9" t="s">
        <v>1091</v>
      </c>
      <c r="B14" s="10" t="s">
        <v>2047</v>
      </c>
      <c r="C14" s="11" t="s">
        <v>1092</v>
      </c>
      <c r="D14" s="12">
        <v>43922</v>
      </c>
      <c r="E14" s="12">
        <v>43923</v>
      </c>
      <c r="F14" s="13">
        <v>36816642</v>
      </c>
      <c r="G14" s="14">
        <v>0</v>
      </c>
      <c r="H14" s="9" t="s">
        <v>1093</v>
      </c>
      <c r="I14" s="15">
        <v>860054854</v>
      </c>
      <c r="J14" s="16" t="s">
        <v>1094</v>
      </c>
      <c r="K14" s="17">
        <v>1325</v>
      </c>
      <c r="L14" s="18" t="s">
        <v>21</v>
      </c>
      <c r="M14" s="19">
        <v>22146</v>
      </c>
      <c r="N14" s="19">
        <v>0</v>
      </c>
      <c r="O14" s="19">
        <f t="shared" si="3"/>
        <v>29343450</v>
      </c>
      <c r="P14" s="17" t="s">
        <v>22</v>
      </c>
    </row>
    <row r="15" spans="1:16" x14ac:dyDescent="0.3">
      <c r="A15" s="9" t="s">
        <v>1291</v>
      </c>
      <c r="B15" s="10" t="s">
        <v>1292</v>
      </c>
      <c r="C15" s="11" t="s">
        <v>1293</v>
      </c>
      <c r="D15" s="12">
        <v>43915</v>
      </c>
      <c r="E15" s="12">
        <v>43916</v>
      </c>
      <c r="F15" s="13">
        <v>79231499</v>
      </c>
      <c r="G15" s="14">
        <v>0</v>
      </c>
      <c r="H15" s="9" t="s">
        <v>1294</v>
      </c>
      <c r="I15" s="15">
        <v>900916649</v>
      </c>
      <c r="J15" s="16" t="s">
        <v>1301</v>
      </c>
      <c r="K15" s="17">
        <v>100</v>
      </c>
      <c r="L15" s="18" t="s">
        <v>21</v>
      </c>
      <c r="M15" s="19">
        <v>21000</v>
      </c>
      <c r="N15" s="19">
        <f t="shared" ref="N15:N16" si="5">M15*0.19</f>
        <v>3990</v>
      </c>
      <c r="O15" s="19">
        <f t="shared" si="3"/>
        <v>2499000</v>
      </c>
      <c r="P15" s="17" t="s">
        <v>22</v>
      </c>
    </row>
    <row r="16" spans="1:16" x14ac:dyDescent="0.3">
      <c r="A16" s="9" t="s">
        <v>1306</v>
      </c>
      <c r="B16" s="10" t="s">
        <v>1346</v>
      </c>
      <c r="C16" s="11" t="s">
        <v>1339</v>
      </c>
      <c r="D16" s="12">
        <v>43924</v>
      </c>
      <c r="E16" s="12">
        <v>43925</v>
      </c>
      <c r="F16" s="13">
        <v>3050000</v>
      </c>
      <c r="G16" s="14">
        <v>0</v>
      </c>
      <c r="H16" s="9" t="s">
        <v>1347</v>
      </c>
      <c r="I16" s="15">
        <v>901285199</v>
      </c>
      <c r="J16" s="16" t="s">
        <v>1348</v>
      </c>
      <c r="K16" s="17">
        <v>100</v>
      </c>
      <c r="L16" s="18" t="s">
        <v>21</v>
      </c>
      <c r="M16" s="19">
        <v>15126</v>
      </c>
      <c r="N16" s="19">
        <f t="shared" si="5"/>
        <v>2873.94</v>
      </c>
      <c r="O16" s="19">
        <f t="shared" si="3"/>
        <v>1799993.9999999998</v>
      </c>
      <c r="P16" s="17" t="s">
        <v>22</v>
      </c>
    </row>
    <row r="17" spans="1:16" x14ac:dyDescent="0.3">
      <c r="A17" s="9" t="s">
        <v>1306</v>
      </c>
      <c r="B17" s="10" t="s">
        <v>1417</v>
      </c>
      <c r="C17" s="11" t="s">
        <v>1418</v>
      </c>
      <c r="D17" s="12">
        <v>44179</v>
      </c>
      <c r="E17" s="12">
        <v>44179</v>
      </c>
      <c r="F17" s="13">
        <v>265000</v>
      </c>
      <c r="G17" s="14">
        <v>0</v>
      </c>
      <c r="H17" s="9" t="s">
        <v>401</v>
      </c>
      <c r="I17" s="15" t="s">
        <v>992</v>
      </c>
      <c r="J17" s="16" t="s">
        <v>1927</v>
      </c>
      <c r="K17" s="17">
        <v>20</v>
      </c>
      <c r="L17" s="18" t="s">
        <v>21</v>
      </c>
      <c r="M17" s="19">
        <v>11750</v>
      </c>
      <c r="N17" s="19">
        <v>0</v>
      </c>
      <c r="O17" s="19">
        <f t="shared" si="3"/>
        <v>235000</v>
      </c>
      <c r="P17" s="17" t="s">
        <v>22</v>
      </c>
    </row>
    <row r="18" spans="1:16" x14ac:dyDescent="0.3">
      <c r="A18" s="9" t="s">
        <v>1437</v>
      </c>
      <c r="B18" s="10" t="s">
        <v>2070</v>
      </c>
      <c r="C18" s="11" t="s">
        <v>1438</v>
      </c>
      <c r="D18" s="12">
        <v>43477</v>
      </c>
      <c r="E18" s="12">
        <v>43800</v>
      </c>
      <c r="F18" s="13">
        <v>0</v>
      </c>
      <c r="G18" s="14">
        <v>67434392</v>
      </c>
      <c r="H18" s="9" t="s">
        <v>1439</v>
      </c>
      <c r="I18" s="15">
        <v>811044253</v>
      </c>
      <c r="J18" s="16" t="s">
        <v>1450</v>
      </c>
      <c r="K18" s="17">
        <v>120</v>
      </c>
      <c r="L18" s="18" t="s">
        <v>21</v>
      </c>
      <c r="M18" s="19">
        <v>27000</v>
      </c>
      <c r="N18" s="19">
        <v>0</v>
      </c>
      <c r="O18" s="19">
        <f t="shared" si="3"/>
        <v>3240000</v>
      </c>
      <c r="P18" s="17" t="s">
        <v>22</v>
      </c>
    </row>
    <row r="19" spans="1:16" x14ac:dyDescent="0.3">
      <c r="A19" s="9" t="s">
        <v>1472</v>
      </c>
      <c r="B19" s="10" t="s">
        <v>1473</v>
      </c>
      <c r="C19" s="11" t="s">
        <v>1474</v>
      </c>
      <c r="D19" s="12">
        <v>43914</v>
      </c>
      <c r="E19" s="12">
        <v>43914</v>
      </c>
      <c r="F19" s="13">
        <v>19313663</v>
      </c>
      <c r="G19" s="14">
        <v>0</v>
      </c>
      <c r="H19" s="9" t="s">
        <v>1475</v>
      </c>
      <c r="I19" s="15">
        <v>92511814</v>
      </c>
      <c r="J19" s="16" t="s">
        <v>1476</v>
      </c>
      <c r="K19" s="17">
        <v>229</v>
      </c>
      <c r="L19" s="18" t="s">
        <v>21</v>
      </c>
      <c r="M19" s="19">
        <v>34061</v>
      </c>
      <c r="N19" s="19">
        <f t="shared" ref="N19:N23" si="6">M19*0.19</f>
        <v>6471.59</v>
      </c>
      <c r="O19" s="19">
        <f t="shared" si="3"/>
        <v>9281963.1099999994</v>
      </c>
      <c r="P19" s="17" t="s">
        <v>22</v>
      </c>
    </row>
    <row r="20" spans="1:16" x14ac:dyDescent="0.3">
      <c r="A20" s="9" t="s">
        <v>1472</v>
      </c>
      <c r="B20" s="10" t="s">
        <v>1480</v>
      </c>
      <c r="C20" s="11" t="s">
        <v>1474</v>
      </c>
      <c r="D20" s="12">
        <v>43914</v>
      </c>
      <c r="E20" s="12">
        <v>43914</v>
      </c>
      <c r="F20" s="13">
        <v>0</v>
      </c>
      <c r="G20" s="14">
        <v>4134324</v>
      </c>
      <c r="H20" s="9" t="s">
        <v>1475</v>
      </c>
      <c r="I20" s="15">
        <v>92511814</v>
      </c>
      <c r="J20" s="16" t="s">
        <v>1476</v>
      </c>
      <c r="K20" s="17">
        <v>102</v>
      </c>
      <c r="L20" s="18" t="s">
        <v>21</v>
      </c>
      <c r="M20" s="19">
        <v>34061</v>
      </c>
      <c r="N20" s="19">
        <f t="shared" si="6"/>
        <v>6471.59</v>
      </c>
      <c r="O20" s="19">
        <f t="shared" si="3"/>
        <v>4134324.1799999997</v>
      </c>
      <c r="P20" s="17" t="s">
        <v>22</v>
      </c>
    </row>
    <row r="21" spans="1:16" x14ac:dyDescent="0.3">
      <c r="A21" s="9" t="s">
        <v>1571</v>
      </c>
      <c r="B21" s="10" t="s">
        <v>2078</v>
      </c>
      <c r="C21" s="11" t="s">
        <v>1572</v>
      </c>
      <c r="D21" s="12">
        <v>43908</v>
      </c>
      <c r="E21" s="12">
        <v>43908</v>
      </c>
      <c r="F21" s="13">
        <v>11223366</v>
      </c>
      <c r="G21" s="14">
        <v>0</v>
      </c>
      <c r="H21" s="9" t="s">
        <v>19</v>
      </c>
      <c r="I21" s="15">
        <v>901095058</v>
      </c>
      <c r="J21" s="16" t="s">
        <v>1573</v>
      </c>
      <c r="K21" s="17">
        <v>300</v>
      </c>
      <c r="L21" s="18" t="s">
        <v>21</v>
      </c>
      <c r="M21" s="19">
        <v>15000</v>
      </c>
      <c r="N21" s="19">
        <f t="shared" si="6"/>
        <v>2850</v>
      </c>
      <c r="O21" s="19">
        <f t="shared" si="3"/>
        <v>5355000</v>
      </c>
      <c r="P21" s="17" t="s">
        <v>22</v>
      </c>
    </row>
    <row r="22" spans="1:16" x14ac:dyDescent="0.3">
      <c r="A22" s="9" t="s">
        <v>1629</v>
      </c>
      <c r="B22" s="10" t="s">
        <v>2113</v>
      </c>
      <c r="C22" s="11" t="s">
        <v>1630</v>
      </c>
      <c r="D22" s="12">
        <v>43928</v>
      </c>
      <c r="E22" s="12">
        <v>43936</v>
      </c>
      <c r="F22" s="13">
        <v>4522000</v>
      </c>
      <c r="G22" s="14">
        <v>0</v>
      </c>
      <c r="H22" s="9" t="s">
        <v>1631</v>
      </c>
      <c r="I22" s="15">
        <v>901095058</v>
      </c>
      <c r="J22" s="16" t="s">
        <v>1632</v>
      </c>
      <c r="K22" s="17">
        <v>200</v>
      </c>
      <c r="L22" s="29" t="s">
        <v>21</v>
      </c>
      <c r="M22" s="19">
        <v>19000</v>
      </c>
      <c r="N22" s="19">
        <f t="shared" si="6"/>
        <v>3610</v>
      </c>
      <c r="O22" s="19">
        <f t="shared" si="3"/>
        <v>4522000</v>
      </c>
      <c r="P22" s="21" t="s">
        <v>22</v>
      </c>
    </row>
    <row r="23" spans="1:16" x14ac:dyDescent="0.3">
      <c r="A23" s="9" t="s">
        <v>1692</v>
      </c>
      <c r="B23" s="10" t="s">
        <v>1698</v>
      </c>
      <c r="C23" s="11" t="s">
        <v>1699</v>
      </c>
      <c r="D23" s="12">
        <v>43917</v>
      </c>
      <c r="E23" s="12">
        <v>43917</v>
      </c>
      <c r="F23" s="13">
        <v>3918700</v>
      </c>
      <c r="G23" s="14">
        <v>0</v>
      </c>
      <c r="H23" s="9" t="s">
        <v>1700</v>
      </c>
      <c r="I23" s="15">
        <v>900769393</v>
      </c>
      <c r="J23" s="16" t="s">
        <v>1701</v>
      </c>
      <c r="K23" s="17">
        <v>162</v>
      </c>
      <c r="L23" s="18" t="s">
        <v>21</v>
      </c>
      <c r="M23" s="19">
        <v>18151</v>
      </c>
      <c r="N23" s="19">
        <f t="shared" si="6"/>
        <v>3448.69</v>
      </c>
      <c r="O23" s="19">
        <f t="shared" si="3"/>
        <v>3499149.78</v>
      </c>
      <c r="P23" s="17" t="s">
        <v>22</v>
      </c>
    </row>
  </sheetData>
  <dataValidations count="12">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2:I3 E16 E18:E19 A2:B3 E5:E7 E12 D23:I23 A23:B2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12 F18:F20 F4:F6 F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5:A13 A15 A19:A20">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7 I15 I4:I5 I18:I19">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15 H17:H20 H4:H6 H8 H12:H13 H2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16 D18:D20 D5:D6 D11:D12 E2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8 B11:B13 B5:B6 B18:B2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8:E8 D13:E15 D22:E2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C8">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9:G10 G18: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15 F17 F13 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22">
      <formula1>-99999999999</formula1>
      <formula2>99999999999</formula2>
    </dataValidation>
  </dataValidations>
  <pageMargins left="0.7" right="0.7" top="0.75" bottom="0.75" header="0.3" footer="0.3"/>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4"/>
  <sheetViews>
    <sheetView workbookViewId="0">
      <selection sqref="A1:P84"/>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 min="17" max="17" width="19.33203125" customWidth="1"/>
    <col min="18" max="18" width="38.109375" customWidth="1"/>
    <col min="19" max="19" width="14.77734375" bestFit="1" customWidth="1"/>
    <col min="20" max="20" width="27.6640625" bestFit="1" customWidth="1"/>
    <col min="21" max="21" width="20.6640625" bestFit="1" customWidth="1"/>
    <col min="22" max="22" width="11.88671875" bestFit="1" customWidth="1"/>
    <col min="23" max="23" width="17.5546875" bestFit="1" customWidth="1"/>
    <col min="24" max="24"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40</v>
      </c>
      <c r="C2" s="11" t="s">
        <v>41</v>
      </c>
      <c r="D2" s="12">
        <v>43999</v>
      </c>
      <c r="E2" s="12">
        <v>43999</v>
      </c>
      <c r="F2" s="13">
        <v>42000000</v>
      </c>
      <c r="G2" s="14">
        <v>0</v>
      </c>
      <c r="H2" s="9" t="s">
        <v>42</v>
      </c>
      <c r="I2" s="15">
        <v>890000547</v>
      </c>
      <c r="J2" s="16" t="s">
        <v>43</v>
      </c>
      <c r="K2" s="17">
        <v>6</v>
      </c>
      <c r="L2" s="18" t="s">
        <v>44</v>
      </c>
      <c r="M2" s="19">
        <v>2000000</v>
      </c>
      <c r="N2" s="19">
        <v>0</v>
      </c>
      <c r="O2" s="19">
        <f>(K2*(M2+N2))*3.5</f>
        <v>42000000</v>
      </c>
      <c r="P2" s="17" t="s">
        <v>45</v>
      </c>
    </row>
    <row r="3" spans="1:16" x14ac:dyDescent="0.3">
      <c r="A3" s="9" t="s">
        <v>16</v>
      </c>
      <c r="B3" s="10" t="s">
        <v>111</v>
      </c>
      <c r="C3" s="11" t="s">
        <v>1755</v>
      </c>
      <c r="D3" s="12">
        <v>44106</v>
      </c>
      <c r="E3" s="12">
        <v>44109</v>
      </c>
      <c r="F3" s="26">
        <v>44266888</v>
      </c>
      <c r="G3" s="27">
        <v>0</v>
      </c>
      <c r="H3" s="9" t="s">
        <v>42</v>
      </c>
      <c r="I3" s="15">
        <v>890000547</v>
      </c>
      <c r="J3" s="16" t="s">
        <v>112</v>
      </c>
      <c r="K3" s="17">
        <v>8</v>
      </c>
      <c r="L3" s="18" t="s">
        <v>44</v>
      </c>
      <c r="M3" s="19">
        <v>2000010</v>
      </c>
      <c r="N3" s="19">
        <v>0</v>
      </c>
      <c r="O3" s="19">
        <f>K3*(M3+N3)*2.7666666</f>
        <v>44266886.933328003</v>
      </c>
      <c r="P3" s="17" t="s">
        <v>45</v>
      </c>
    </row>
    <row r="4" spans="1:16" x14ac:dyDescent="0.3">
      <c r="A4" s="9" t="s">
        <v>138</v>
      </c>
      <c r="B4" s="10" t="s">
        <v>192</v>
      </c>
      <c r="C4" s="28" t="s">
        <v>193</v>
      </c>
      <c r="D4" s="12">
        <v>44013</v>
      </c>
      <c r="E4" s="12">
        <v>44013</v>
      </c>
      <c r="F4" s="13">
        <v>43680000</v>
      </c>
      <c r="G4" s="14">
        <v>0</v>
      </c>
      <c r="H4" s="9" t="s">
        <v>194</v>
      </c>
      <c r="I4" s="15">
        <v>900008801</v>
      </c>
      <c r="J4" s="16" t="s">
        <v>195</v>
      </c>
      <c r="K4" s="17">
        <v>7</v>
      </c>
      <c r="L4" s="18" t="s">
        <v>44</v>
      </c>
      <c r="M4" s="19">
        <v>1310924.3697478992</v>
      </c>
      <c r="N4" s="19">
        <f t="shared" ref="N4" si="0">M4*0.19</f>
        <v>249075.63025210085</v>
      </c>
      <c r="O4" s="19">
        <f>K4*(M4+N4)*4</f>
        <v>43680000</v>
      </c>
      <c r="P4" s="17" t="s">
        <v>45</v>
      </c>
    </row>
    <row r="5" spans="1:16" x14ac:dyDescent="0.3">
      <c r="A5" s="9" t="s">
        <v>284</v>
      </c>
      <c r="B5" s="10" t="s">
        <v>370</v>
      </c>
      <c r="C5" s="11" t="s">
        <v>371</v>
      </c>
      <c r="D5" s="12">
        <v>43999</v>
      </c>
      <c r="E5" s="12">
        <v>44001</v>
      </c>
      <c r="F5" s="13">
        <v>206400000</v>
      </c>
      <c r="G5" s="14">
        <v>0</v>
      </c>
      <c r="H5" s="9" t="s">
        <v>1943</v>
      </c>
      <c r="I5" s="15">
        <v>890209025</v>
      </c>
      <c r="J5" s="16" t="s">
        <v>372</v>
      </c>
      <c r="K5" s="17">
        <v>12</v>
      </c>
      <c r="L5" s="18" t="s">
        <v>44</v>
      </c>
      <c r="M5" s="19">
        <v>2400000</v>
      </c>
      <c r="N5" s="19">
        <v>0</v>
      </c>
      <c r="O5" s="19">
        <f t="shared" ref="O5:O6" si="1">K5*(M5+N5)</f>
        <v>28800000</v>
      </c>
      <c r="P5" s="17" t="s">
        <v>45</v>
      </c>
    </row>
    <row r="6" spans="1:16" x14ac:dyDescent="0.3">
      <c r="A6" s="9" t="s">
        <v>284</v>
      </c>
      <c r="B6" s="10" t="s">
        <v>370</v>
      </c>
      <c r="C6" s="11" t="s">
        <v>371</v>
      </c>
      <c r="D6" s="12">
        <v>43999</v>
      </c>
      <c r="E6" s="12">
        <v>44001</v>
      </c>
      <c r="F6" s="13">
        <v>206400000</v>
      </c>
      <c r="G6" s="14">
        <v>0</v>
      </c>
      <c r="H6" s="9" t="s">
        <v>1943</v>
      </c>
      <c r="I6" s="15">
        <v>890209025</v>
      </c>
      <c r="J6" s="16" t="s">
        <v>373</v>
      </c>
      <c r="K6" s="17">
        <v>12</v>
      </c>
      <c r="L6" s="18" t="s">
        <v>44</v>
      </c>
      <c r="M6" s="19">
        <v>1900000</v>
      </c>
      <c r="N6" s="19">
        <v>0</v>
      </c>
      <c r="O6" s="19">
        <f t="shared" si="1"/>
        <v>22800000</v>
      </c>
      <c r="P6" s="17" t="s">
        <v>45</v>
      </c>
    </row>
    <row r="7" spans="1:16" x14ac:dyDescent="0.3">
      <c r="A7" s="9" t="s">
        <v>402</v>
      </c>
      <c r="B7" s="10" t="s">
        <v>454</v>
      </c>
      <c r="C7" s="11" t="s">
        <v>455</v>
      </c>
      <c r="D7" s="12">
        <v>44006</v>
      </c>
      <c r="E7" s="12">
        <v>44012</v>
      </c>
      <c r="F7" s="13">
        <v>310500000</v>
      </c>
      <c r="G7" s="14">
        <v>0</v>
      </c>
      <c r="H7" s="9" t="s">
        <v>456</v>
      </c>
      <c r="I7" s="15">
        <v>900063271</v>
      </c>
      <c r="J7" s="16" t="s">
        <v>457</v>
      </c>
      <c r="K7" s="17">
        <v>23</v>
      </c>
      <c r="L7" s="18" t="s">
        <v>44</v>
      </c>
      <c r="M7" s="19">
        <v>2250000</v>
      </c>
      <c r="N7" s="19">
        <v>0</v>
      </c>
      <c r="O7" s="19">
        <f>K7*(M7+N7)*6</f>
        <v>310500000</v>
      </c>
      <c r="P7" s="17" t="s">
        <v>45</v>
      </c>
    </row>
    <row r="8" spans="1:16" x14ac:dyDescent="0.3">
      <c r="A8" s="9" t="s">
        <v>402</v>
      </c>
      <c r="B8" s="10" t="s">
        <v>454</v>
      </c>
      <c r="C8" s="11" t="s">
        <v>455</v>
      </c>
      <c r="D8" s="12">
        <v>44006</v>
      </c>
      <c r="E8" s="12">
        <v>44197</v>
      </c>
      <c r="F8" s="13">
        <v>0</v>
      </c>
      <c r="G8" s="14">
        <v>151125000</v>
      </c>
      <c r="H8" s="9" t="s">
        <v>456</v>
      </c>
      <c r="I8" s="15">
        <v>900063271</v>
      </c>
      <c r="J8" s="16" t="s">
        <v>457</v>
      </c>
      <c r="K8" s="17">
        <v>23</v>
      </c>
      <c r="L8" s="18" t="s">
        <v>44</v>
      </c>
      <c r="M8" s="19">
        <v>2190217.39</v>
      </c>
      <c r="N8" s="19">
        <v>0</v>
      </c>
      <c r="O8" s="19">
        <f>K8*(M8+N8)*3</f>
        <v>151124999.91000003</v>
      </c>
      <c r="P8" s="17" t="s">
        <v>45</v>
      </c>
    </row>
    <row r="9" spans="1:16" x14ac:dyDescent="0.3">
      <c r="A9" s="9" t="s">
        <v>472</v>
      </c>
      <c r="B9" s="10" t="s">
        <v>1958</v>
      </c>
      <c r="C9" s="11" t="s">
        <v>1979</v>
      </c>
      <c r="D9" s="12">
        <v>44127</v>
      </c>
      <c r="E9" s="12">
        <v>44136</v>
      </c>
      <c r="F9" s="13">
        <v>74804400</v>
      </c>
      <c r="G9" s="14">
        <v>0</v>
      </c>
      <c r="H9" s="9" t="s">
        <v>1959</v>
      </c>
      <c r="I9" s="15" t="s">
        <v>1961</v>
      </c>
      <c r="J9" s="16" t="s">
        <v>1960</v>
      </c>
      <c r="K9" s="17">
        <v>16</v>
      </c>
      <c r="L9" s="18" t="s">
        <v>44</v>
      </c>
      <c r="M9" s="19">
        <v>2337637.5</v>
      </c>
      <c r="N9" s="19">
        <v>0</v>
      </c>
      <c r="O9" s="19">
        <f>K9*(M9+N9)*2</f>
        <v>74804400</v>
      </c>
      <c r="P9" s="17" t="s">
        <v>45</v>
      </c>
    </row>
    <row r="10" spans="1:16" x14ac:dyDescent="0.3">
      <c r="A10" s="9" t="s">
        <v>558</v>
      </c>
      <c r="B10" s="10" t="s">
        <v>604</v>
      </c>
      <c r="C10" s="11" t="s">
        <v>1789</v>
      </c>
      <c r="D10" s="12">
        <v>44006</v>
      </c>
      <c r="E10" s="12">
        <v>44005</v>
      </c>
      <c r="F10" s="13">
        <v>87606036</v>
      </c>
      <c r="G10" s="14">
        <v>0</v>
      </c>
      <c r="H10" s="9" t="s">
        <v>605</v>
      </c>
      <c r="I10" s="15">
        <v>807003817</v>
      </c>
      <c r="J10" s="16" t="s">
        <v>606</v>
      </c>
      <c r="K10" s="17">
        <v>18</v>
      </c>
      <c r="L10" s="18" t="s">
        <v>44</v>
      </c>
      <c r="M10" s="19">
        <v>1622334</v>
      </c>
      <c r="N10" s="19">
        <v>0</v>
      </c>
      <c r="O10" s="19">
        <f>K10*(M10+N10)*3</f>
        <v>87606036</v>
      </c>
      <c r="P10" s="17" t="s">
        <v>45</v>
      </c>
    </row>
    <row r="11" spans="1:16" x14ac:dyDescent="0.3">
      <c r="A11" s="9" t="s">
        <v>657</v>
      </c>
      <c r="B11" s="10" t="s">
        <v>678</v>
      </c>
      <c r="C11" s="11" t="s">
        <v>679</v>
      </c>
      <c r="D11" s="12">
        <v>44005</v>
      </c>
      <c r="E11" s="12">
        <v>44006</v>
      </c>
      <c r="F11" s="13">
        <v>83500000</v>
      </c>
      <c r="G11" s="14">
        <v>0</v>
      </c>
      <c r="H11" s="9" t="s">
        <v>680</v>
      </c>
      <c r="I11" s="15">
        <v>890701338</v>
      </c>
      <c r="J11" s="16" t="s">
        <v>681</v>
      </c>
      <c r="K11" s="17">
        <v>13</v>
      </c>
      <c r="L11" s="18" t="s">
        <v>44</v>
      </c>
      <c r="M11" s="19">
        <v>2141025.6153846155</v>
      </c>
      <c r="N11" s="19">
        <v>0</v>
      </c>
      <c r="O11" s="19">
        <f>K11*(M11+N11)*3</f>
        <v>83499999</v>
      </c>
      <c r="P11" s="17" t="s">
        <v>45</v>
      </c>
    </row>
    <row r="12" spans="1:16" x14ac:dyDescent="0.3">
      <c r="A12" s="9" t="s">
        <v>657</v>
      </c>
      <c r="B12" s="10" t="s">
        <v>683</v>
      </c>
      <c r="C12" s="11" t="s">
        <v>679</v>
      </c>
      <c r="D12" s="12">
        <v>44098</v>
      </c>
      <c r="E12" s="12">
        <v>44099</v>
      </c>
      <c r="F12" s="13">
        <v>89066667</v>
      </c>
      <c r="G12" s="14">
        <v>0</v>
      </c>
      <c r="H12" s="9" t="s">
        <v>680</v>
      </c>
      <c r="I12" s="15">
        <v>890701338</v>
      </c>
      <c r="J12" s="16" t="s">
        <v>684</v>
      </c>
      <c r="K12" s="17">
        <v>13</v>
      </c>
      <c r="L12" s="18" t="s">
        <v>44</v>
      </c>
      <c r="M12" s="19">
        <v>2141025.6153846155</v>
      </c>
      <c r="N12" s="19">
        <v>0</v>
      </c>
      <c r="O12" s="19">
        <f>K12*(M12+N12)*3.2</f>
        <v>89066665.600000009</v>
      </c>
      <c r="P12" s="17" t="s">
        <v>45</v>
      </c>
    </row>
    <row r="13" spans="1:16" x14ac:dyDescent="0.3">
      <c r="A13" s="9" t="s">
        <v>690</v>
      </c>
      <c r="B13" s="10" t="s">
        <v>761</v>
      </c>
      <c r="C13" s="11" t="s">
        <v>762</v>
      </c>
      <c r="D13" s="12">
        <v>43999</v>
      </c>
      <c r="E13" s="12">
        <v>44005</v>
      </c>
      <c r="F13" s="13">
        <v>66538000</v>
      </c>
      <c r="G13" s="14">
        <v>0</v>
      </c>
      <c r="H13" s="9" t="s">
        <v>763</v>
      </c>
      <c r="I13" s="15">
        <v>890801201</v>
      </c>
      <c r="J13" s="16" t="s">
        <v>764</v>
      </c>
      <c r="K13" s="17">
        <v>10</v>
      </c>
      <c r="L13" s="18" t="s">
        <v>44</v>
      </c>
      <c r="M13" s="19">
        <v>2217933</v>
      </c>
      <c r="N13" s="19">
        <v>0</v>
      </c>
      <c r="O13" s="19">
        <f>K13*(M13+N13)*3</f>
        <v>66537990</v>
      </c>
      <c r="P13" s="17" t="s">
        <v>45</v>
      </c>
    </row>
    <row r="14" spans="1:16" x14ac:dyDescent="0.3">
      <c r="A14" s="33" t="s">
        <v>690</v>
      </c>
      <c r="B14" s="33" t="s">
        <v>790</v>
      </c>
      <c r="C14" s="33" t="s">
        <v>762</v>
      </c>
      <c r="D14" s="34">
        <v>44104</v>
      </c>
      <c r="E14" s="34">
        <v>44105</v>
      </c>
      <c r="F14" s="35">
        <v>55714520</v>
      </c>
      <c r="G14" s="14">
        <v>0</v>
      </c>
      <c r="H14" s="33" t="s">
        <v>791</v>
      </c>
      <c r="I14" s="36">
        <v>890801201</v>
      </c>
      <c r="J14" s="33" t="s">
        <v>1957</v>
      </c>
      <c r="K14" s="17">
        <v>3</v>
      </c>
      <c r="L14" s="18" t="s">
        <v>44</v>
      </c>
      <c r="M14" s="19">
        <v>2057200</v>
      </c>
      <c r="N14" s="19">
        <v>0</v>
      </c>
      <c r="O14" s="19">
        <f>(M14/30)*90*K14</f>
        <v>18514800</v>
      </c>
      <c r="P14" s="17" t="s">
        <v>45</v>
      </c>
    </row>
    <row r="15" spans="1:16" x14ac:dyDescent="0.3">
      <c r="A15" s="33" t="s">
        <v>690</v>
      </c>
      <c r="B15" s="33" t="s">
        <v>790</v>
      </c>
      <c r="C15" s="33" t="s">
        <v>762</v>
      </c>
      <c r="D15" s="34">
        <v>44104</v>
      </c>
      <c r="E15" s="34">
        <v>44105</v>
      </c>
      <c r="F15" s="35">
        <v>55714520</v>
      </c>
      <c r="G15" s="14">
        <v>0</v>
      </c>
      <c r="H15" s="33" t="s">
        <v>791</v>
      </c>
      <c r="I15" s="36">
        <v>890801201</v>
      </c>
      <c r="J15" s="33" t="s">
        <v>1956</v>
      </c>
      <c r="K15" s="17">
        <v>7</v>
      </c>
      <c r="L15" s="18" t="s">
        <v>44</v>
      </c>
      <c r="M15" s="19">
        <v>2043940.66</v>
      </c>
      <c r="N15" s="19">
        <v>0</v>
      </c>
      <c r="O15" s="19">
        <f>(M15/30)*78*7</f>
        <v>37199720.011999995</v>
      </c>
      <c r="P15" s="17" t="s">
        <v>45</v>
      </c>
    </row>
    <row r="16" spans="1:16" x14ac:dyDescent="0.3">
      <c r="A16" s="56" t="s">
        <v>690</v>
      </c>
      <c r="B16" s="56" t="s">
        <v>790</v>
      </c>
      <c r="C16" s="56" t="s">
        <v>762</v>
      </c>
      <c r="D16" s="57">
        <v>44104</v>
      </c>
      <c r="E16" s="57">
        <v>44105</v>
      </c>
      <c r="F16" s="58"/>
      <c r="G16" s="58">
        <v>13345300</v>
      </c>
      <c r="H16" s="56" t="s">
        <v>791</v>
      </c>
      <c r="I16" s="59">
        <v>890801201</v>
      </c>
      <c r="J16" s="56" t="s">
        <v>1955</v>
      </c>
      <c r="K16" s="17">
        <v>7</v>
      </c>
      <c r="L16" s="18" t="s">
        <v>44</v>
      </c>
      <c r="M16" s="19">
        <v>1906471.43</v>
      </c>
      <c r="N16" s="19">
        <v>0</v>
      </c>
      <c r="O16" s="19">
        <f t="shared" ref="O16" si="2">K16*(M16+N16)</f>
        <v>13345300.01</v>
      </c>
      <c r="P16" s="17" t="s">
        <v>45</v>
      </c>
    </row>
    <row r="17" spans="1:16" x14ac:dyDescent="0.3">
      <c r="A17" s="9" t="s">
        <v>861</v>
      </c>
      <c r="B17" s="10" t="s">
        <v>930</v>
      </c>
      <c r="C17" s="11" t="s">
        <v>931</v>
      </c>
      <c r="D17" s="12">
        <v>43998</v>
      </c>
      <c r="E17" s="12">
        <v>43998</v>
      </c>
      <c r="F17" s="13">
        <v>139955340</v>
      </c>
      <c r="G17" s="14">
        <v>0</v>
      </c>
      <c r="H17" s="9" t="s">
        <v>932</v>
      </c>
      <c r="I17" s="15">
        <v>812002952</v>
      </c>
      <c r="J17" s="16" t="s">
        <v>933</v>
      </c>
      <c r="K17" s="17">
        <v>14</v>
      </c>
      <c r="L17" s="18" t="s">
        <v>44</v>
      </c>
      <c r="M17" s="19">
        <v>1666135</v>
      </c>
      <c r="N17" s="19">
        <v>0</v>
      </c>
      <c r="O17" s="19">
        <f>K17*(M17+N17)*6</f>
        <v>139955340</v>
      </c>
      <c r="P17" s="17" t="s">
        <v>45</v>
      </c>
    </row>
    <row r="18" spans="1:16" x14ac:dyDescent="0.3">
      <c r="A18" s="9" t="s">
        <v>1006</v>
      </c>
      <c r="B18" s="10" t="s">
        <v>1045</v>
      </c>
      <c r="C18" s="11" t="s">
        <v>1046</v>
      </c>
      <c r="D18" s="12">
        <v>44008</v>
      </c>
      <c r="E18" s="12">
        <v>44013</v>
      </c>
      <c r="F18" s="13">
        <v>85748768</v>
      </c>
      <c r="G18" s="14">
        <v>0</v>
      </c>
      <c r="H18" s="9" t="s">
        <v>1047</v>
      </c>
      <c r="I18" s="15">
        <v>900402861</v>
      </c>
      <c r="J18" s="16" t="s">
        <v>1048</v>
      </c>
      <c r="K18" s="17">
        <v>12</v>
      </c>
      <c r="L18" s="18" t="s">
        <v>44</v>
      </c>
      <c r="M18" s="19">
        <v>1531228</v>
      </c>
      <c r="N18" s="19">
        <v>0</v>
      </c>
      <c r="O18" s="19">
        <f>K18*(M18+N18)*4</f>
        <v>73498944</v>
      </c>
      <c r="P18" s="17" t="s">
        <v>45</v>
      </c>
    </row>
    <row r="19" spans="1:16" x14ac:dyDescent="0.3">
      <c r="A19" s="9" t="s">
        <v>1006</v>
      </c>
      <c r="B19" s="10" t="s">
        <v>1045</v>
      </c>
      <c r="C19" s="11" t="s">
        <v>1046</v>
      </c>
      <c r="D19" s="12">
        <v>44008</v>
      </c>
      <c r="E19" s="12">
        <v>44013</v>
      </c>
      <c r="F19" s="13">
        <v>85748768</v>
      </c>
      <c r="G19" s="14">
        <v>0</v>
      </c>
      <c r="H19" s="9" t="s">
        <v>1047</v>
      </c>
      <c r="I19" s="15">
        <v>900402861</v>
      </c>
      <c r="J19" s="16" t="s">
        <v>1049</v>
      </c>
      <c r="K19" s="17">
        <v>8</v>
      </c>
      <c r="L19" s="18" t="s">
        <v>44</v>
      </c>
      <c r="M19" s="19">
        <v>1531228</v>
      </c>
      <c r="N19" s="19">
        <v>0</v>
      </c>
      <c r="O19" s="19">
        <f t="shared" ref="O19:O41" si="3">K19*(M19+N19)</f>
        <v>12249824</v>
      </c>
      <c r="P19" s="17" t="s">
        <v>45</v>
      </c>
    </row>
    <row r="20" spans="1:16" x14ac:dyDescent="0.3">
      <c r="A20" s="9" t="s">
        <v>1006</v>
      </c>
      <c r="B20" s="10" t="s">
        <v>1970</v>
      </c>
      <c r="C20" s="11" t="s">
        <v>1046</v>
      </c>
      <c r="D20" s="12">
        <v>44008</v>
      </c>
      <c r="E20" s="12">
        <v>44013</v>
      </c>
      <c r="F20" s="13">
        <v>0</v>
      </c>
      <c r="G20" s="14">
        <v>24499648</v>
      </c>
      <c r="H20" s="9" t="s">
        <v>1047</v>
      </c>
      <c r="I20" s="15">
        <v>900402861</v>
      </c>
      <c r="J20" s="16" t="s">
        <v>1049</v>
      </c>
      <c r="K20" s="17">
        <v>16</v>
      </c>
      <c r="L20" s="18" t="s">
        <v>44</v>
      </c>
      <c r="M20" s="19">
        <v>1531228</v>
      </c>
      <c r="N20" s="19">
        <v>0</v>
      </c>
      <c r="O20" s="19">
        <f t="shared" si="3"/>
        <v>24499648</v>
      </c>
      <c r="P20" s="17" t="s">
        <v>45</v>
      </c>
    </row>
    <row r="21" spans="1:16" x14ac:dyDescent="0.3">
      <c r="A21" s="9" t="s">
        <v>1091</v>
      </c>
      <c r="B21" s="10" t="s">
        <v>2054</v>
      </c>
      <c r="C21" s="11" t="s">
        <v>1238</v>
      </c>
      <c r="D21" s="12">
        <v>44008</v>
      </c>
      <c r="E21" s="12">
        <v>44013</v>
      </c>
      <c r="F21" s="13">
        <v>42500000</v>
      </c>
      <c r="G21" s="14">
        <v>0</v>
      </c>
      <c r="H21" s="9" t="s">
        <v>1239</v>
      </c>
      <c r="I21" s="15">
        <v>900589666</v>
      </c>
      <c r="J21" s="16" t="s">
        <v>1240</v>
      </c>
      <c r="K21" s="17">
        <v>2</v>
      </c>
      <c r="L21" s="18" t="s">
        <v>44</v>
      </c>
      <c r="M21" s="19">
        <v>2125000</v>
      </c>
      <c r="N21" s="19">
        <v>0</v>
      </c>
      <c r="O21" s="19">
        <f t="shared" si="3"/>
        <v>4250000</v>
      </c>
      <c r="P21" s="17" t="s">
        <v>45</v>
      </c>
    </row>
    <row r="22" spans="1:16" x14ac:dyDescent="0.3">
      <c r="A22" s="9" t="s">
        <v>1091</v>
      </c>
      <c r="B22" s="10" t="s">
        <v>2054</v>
      </c>
      <c r="C22" s="11" t="s">
        <v>1238</v>
      </c>
      <c r="D22" s="12">
        <v>44008</v>
      </c>
      <c r="E22" s="12">
        <v>44013</v>
      </c>
      <c r="F22" s="13">
        <v>42500000</v>
      </c>
      <c r="G22" s="14">
        <v>0</v>
      </c>
      <c r="H22" s="9" t="s">
        <v>1239</v>
      </c>
      <c r="I22" s="15">
        <v>900589666</v>
      </c>
      <c r="J22" s="16" t="s">
        <v>1241</v>
      </c>
      <c r="K22" s="17">
        <v>2</v>
      </c>
      <c r="L22" s="18" t="s">
        <v>44</v>
      </c>
      <c r="M22" s="19">
        <v>2125000</v>
      </c>
      <c r="N22" s="19">
        <v>0</v>
      </c>
      <c r="O22" s="19">
        <f t="shared" si="3"/>
        <v>4250000</v>
      </c>
      <c r="P22" s="17" t="s">
        <v>45</v>
      </c>
    </row>
    <row r="23" spans="1:16" x14ac:dyDescent="0.3">
      <c r="A23" s="9" t="s">
        <v>1091</v>
      </c>
      <c r="B23" s="10" t="s">
        <v>2054</v>
      </c>
      <c r="C23" s="11" t="s">
        <v>1238</v>
      </c>
      <c r="D23" s="12">
        <v>44008</v>
      </c>
      <c r="E23" s="12">
        <v>44013</v>
      </c>
      <c r="F23" s="13">
        <v>42500000</v>
      </c>
      <c r="G23" s="14">
        <v>0</v>
      </c>
      <c r="H23" s="9" t="s">
        <v>1239</v>
      </c>
      <c r="I23" s="15">
        <v>900589666</v>
      </c>
      <c r="J23" s="16" t="s">
        <v>1242</v>
      </c>
      <c r="K23" s="17">
        <v>2</v>
      </c>
      <c r="L23" s="18" t="s">
        <v>44</v>
      </c>
      <c r="M23" s="19">
        <v>2125000</v>
      </c>
      <c r="N23" s="19">
        <v>0</v>
      </c>
      <c r="O23" s="19">
        <f t="shared" si="3"/>
        <v>4250000</v>
      </c>
      <c r="P23" s="17" t="s">
        <v>45</v>
      </c>
    </row>
    <row r="24" spans="1:16" x14ac:dyDescent="0.3">
      <c r="A24" s="9" t="s">
        <v>1091</v>
      </c>
      <c r="B24" s="10" t="s">
        <v>2054</v>
      </c>
      <c r="C24" s="11" t="s">
        <v>1238</v>
      </c>
      <c r="D24" s="12">
        <v>44008</v>
      </c>
      <c r="E24" s="12">
        <v>44013</v>
      </c>
      <c r="F24" s="13">
        <v>42500000</v>
      </c>
      <c r="G24" s="14">
        <v>0</v>
      </c>
      <c r="H24" s="9" t="s">
        <v>1239</v>
      </c>
      <c r="I24" s="15">
        <v>900589666</v>
      </c>
      <c r="J24" s="16" t="s">
        <v>1243</v>
      </c>
      <c r="K24" s="17">
        <v>2</v>
      </c>
      <c r="L24" s="18" t="s">
        <v>44</v>
      </c>
      <c r="M24" s="19">
        <v>2125000</v>
      </c>
      <c r="N24" s="19">
        <v>0</v>
      </c>
      <c r="O24" s="19">
        <f t="shared" si="3"/>
        <v>4250000</v>
      </c>
      <c r="P24" s="17" t="s">
        <v>45</v>
      </c>
    </row>
    <row r="25" spans="1:16" x14ac:dyDescent="0.3">
      <c r="A25" s="9" t="s">
        <v>1091</v>
      </c>
      <c r="B25" s="10" t="s">
        <v>2054</v>
      </c>
      <c r="C25" s="11" t="s">
        <v>1238</v>
      </c>
      <c r="D25" s="12">
        <v>44008</v>
      </c>
      <c r="E25" s="12">
        <v>44013</v>
      </c>
      <c r="F25" s="13">
        <v>42500000</v>
      </c>
      <c r="G25" s="14">
        <v>0</v>
      </c>
      <c r="H25" s="9" t="s">
        <v>1239</v>
      </c>
      <c r="I25" s="15">
        <v>900589666</v>
      </c>
      <c r="J25" s="16" t="s">
        <v>1244</v>
      </c>
      <c r="K25" s="17">
        <v>2</v>
      </c>
      <c r="L25" s="18" t="s">
        <v>44</v>
      </c>
      <c r="M25" s="19">
        <v>2125000</v>
      </c>
      <c r="N25" s="19">
        <v>0</v>
      </c>
      <c r="O25" s="19">
        <f t="shared" si="3"/>
        <v>4250000</v>
      </c>
      <c r="P25" s="17" t="s">
        <v>45</v>
      </c>
    </row>
    <row r="26" spans="1:16" x14ac:dyDescent="0.3">
      <c r="A26" s="9" t="s">
        <v>1091</v>
      </c>
      <c r="B26" s="10" t="s">
        <v>2054</v>
      </c>
      <c r="C26" s="11" t="s">
        <v>1238</v>
      </c>
      <c r="D26" s="12">
        <v>44008</v>
      </c>
      <c r="E26" s="12">
        <v>44013</v>
      </c>
      <c r="F26" s="13">
        <v>42500000</v>
      </c>
      <c r="G26" s="14">
        <v>0</v>
      </c>
      <c r="H26" s="9" t="s">
        <v>1239</v>
      </c>
      <c r="I26" s="15">
        <v>900589666</v>
      </c>
      <c r="J26" s="16" t="s">
        <v>1245</v>
      </c>
      <c r="K26" s="17">
        <v>2</v>
      </c>
      <c r="L26" s="18" t="s">
        <v>44</v>
      </c>
      <c r="M26" s="19">
        <v>2125000</v>
      </c>
      <c r="N26" s="19">
        <v>0</v>
      </c>
      <c r="O26" s="19">
        <f t="shared" si="3"/>
        <v>4250000</v>
      </c>
      <c r="P26" s="17" t="s">
        <v>45</v>
      </c>
    </row>
    <row r="27" spans="1:16" x14ac:dyDescent="0.3">
      <c r="A27" s="9" t="s">
        <v>1091</v>
      </c>
      <c r="B27" s="10" t="s">
        <v>2054</v>
      </c>
      <c r="C27" s="11" t="s">
        <v>1238</v>
      </c>
      <c r="D27" s="12">
        <v>44008</v>
      </c>
      <c r="E27" s="12">
        <v>44013</v>
      </c>
      <c r="F27" s="13">
        <v>42500000</v>
      </c>
      <c r="G27" s="14">
        <v>0</v>
      </c>
      <c r="H27" s="9" t="s">
        <v>1239</v>
      </c>
      <c r="I27" s="15">
        <v>900589666</v>
      </c>
      <c r="J27" s="16" t="s">
        <v>1246</v>
      </c>
      <c r="K27" s="17">
        <v>2</v>
      </c>
      <c r="L27" s="18" t="s">
        <v>44</v>
      </c>
      <c r="M27" s="19">
        <v>2125000</v>
      </c>
      <c r="N27" s="19">
        <v>0</v>
      </c>
      <c r="O27" s="19">
        <f t="shared" si="3"/>
        <v>4250000</v>
      </c>
      <c r="P27" s="17" t="s">
        <v>45</v>
      </c>
    </row>
    <row r="28" spans="1:16" x14ac:dyDescent="0.3">
      <c r="A28" s="9" t="s">
        <v>1091</v>
      </c>
      <c r="B28" s="10" t="s">
        <v>2054</v>
      </c>
      <c r="C28" s="11" t="s">
        <v>1238</v>
      </c>
      <c r="D28" s="12">
        <v>44008</v>
      </c>
      <c r="E28" s="12">
        <v>44013</v>
      </c>
      <c r="F28" s="13">
        <v>42500000</v>
      </c>
      <c r="G28" s="14">
        <v>0</v>
      </c>
      <c r="H28" s="9" t="s">
        <v>1239</v>
      </c>
      <c r="I28" s="15">
        <v>900589666</v>
      </c>
      <c r="J28" s="16" t="s">
        <v>1247</v>
      </c>
      <c r="K28" s="17">
        <v>2</v>
      </c>
      <c r="L28" s="18" t="s">
        <v>44</v>
      </c>
      <c r="M28" s="19">
        <v>2125000</v>
      </c>
      <c r="N28" s="19">
        <v>0</v>
      </c>
      <c r="O28" s="19">
        <f t="shared" si="3"/>
        <v>4250000</v>
      </c>
      <c r="P28" s="17" t="s">
        <v>45</v>
      </c>
    </row>
    <row r="29" spans="1:16" x14ac:dyDescent="0.3">
      <c r="A29" s="9" t="s">
        <v>1091</v>
      </c>
      <c r="B29" s="10" t="s">
        <v>2054</v>
      </c>
      <c r="C29" s="11" t="s">
        <v>1238</v>
      </c>
      <c r="D29" s="12">
        <v>44008</v>
      </c>
      <c r="E29" s="12">
        <v>44013</v>
      </c>
      <c r="F29" s="13">
        <v>42500000</v>
      </c>
      <c r="G29" s="14">
        <v>0</v>
      </c>
      <c r="H29" s="9" t="s">
        <v>1239</v>
      </c>
      <c r="I29" s="15">
        <v>900589666</v>
      </c>
      <c r="J29" s="16" t="s">
        <v>1248</v>
      </c>
      <c r="K29" s="17">
        <v>2</v>
      </c>
      <c r="L29" s="18" t="s">
        <v>44</v>
      </c>
      <c r="M29" s="19">
        <v>2125000</v>
      </c>
      <c r="N29" s="19">
        <v>0</v>
      </c>
      <c r="O29" s="19">
        <f t="shared" si="3"/>
        <v>4250000</v>
      </c>
      <c r="P29" s="17" t="s">
        <v>45</v>
      </c>
    </row>
    <row r="30" spans="1:16" x14ac:dyDescent="0.3">
      <c r="A30" s="9" t="s">
        <v>1091</v>
      </c>
      <c r="B30" s="10" t="s">
        <v>2054</v>
      </c>
      <c r="C30" s="11" t="s">
        <v>1238</v>
      </c>
      <c r="D30" s="12">
        <v>44008</v>
      </c>
      <c r="E30" s="12">
        <v>44013</v>
      </c>
      <c r="F30" s="13">
        <v>42500000</v>
      </c>
      <c r="G30" s="14">
        <v>0</v>
      </c>
      <c r="H30" s="9" t="s">
        <v>1239</v>
      </c>
      <c r="I30" s="15">
        <v>900589666</v>
      </c>
      <c r="J30" s="16" t="s">
        <v>1249</v>
      </c>
      <c r="K30" s="17">
        <v>2</v>
      </c>
      <c r="L30" s="18" t="s">
        <v>44</v>
      </c>
      <c r="M30" s="19">
        <v>2125000</v>
      </c>
      <c r="N30" s="19">
        <v>0</v>
      </c>
      <c r="O30" s="19">
        <f t="shared" si="3"/>
        <v>4250000</v>
      </c>
      <c r="P30" s="17" t="s">
        <v>45</v>
      </c>
    </row>
    <row r="31" spans="1:16" x14ac:dyDescent="0.3">
      <c r="A31" s="9" t="s">
        <v>1091</v>
      </c>
      <c r="B31" s="10" t="s">
        <v>2056</v>
      </c>
      <c r="C31" s="11" t="s">
        <v>1252</v>
      </c>
      <c r="D31" s="12">
        <v>44127</v>
      </c>
      <c r="E31" s="12">
        <v>44134</v>
      </c>
      <c r="F31" s="13">
        <v>56166581</v>
      </c>
      <c r="G31" s="14">
        <v>0</v>
      </c>
      <c r="H31" s="9" t="s">
        <v>1253</v>
      </c>
      <c r="I31" s="15">
        <v>900152830</v>
      </c>
      <c r="J31" s="16" t="s">
        <v>1254</v>
      </c>
      <c r="K31" s="17">
        <v>2.1666666999999999</v>
      </c>
      <c r="L31" s="18" t="s">
        <v>44</v>
      </c>
      <c r="M31" s="19">
        <v>9721138.6899999995</v>
      </c>
      <c r="N31" s="19">
        <v>0</v>
      </c>
      <c r="O31" s="19">
        <f t="shared" si="3"/>
        <v>21062467.485704623</v>
      </c>
      <c r="P31" s="17" t="s">
        <v>45</v>
      </c>
    </row>
    <row r="32" spans="1:16" x14ac:dyDescent="0.3">
      <c r="A32" s="9" t="s">
        <v>1091</v>
      </c>
      <c r="B32" s="10" t="s">
        <v>2056</v>
      </c>
      <c r="C32" s="11" t="s">
        <v>1252</v>
      </c>
      <c r="D32" s="12">
        <v>44127</v>
      </c>
      <c r="E32" s="12">
        <v>44134</v>
      </c>
      <c r="F32" s="13">
        <v>56166581</v>
      </c>
      <c r="G32" s="14">
        <v>0</v>
      </c>
      <c r="H32" s="9" t="s">
        <v>1253</v>
      </c>
      <c r="I32" s="15">
        <v>900152830</v>
      </c>
      <c r="J32" s="16" t="s">
        <v>1240</v>
      </c>
      <c r="K32" s="17">
        <v>2.1666666999999999</v>
      </c>
      <c r="L32" s="18" t="s">
        <v>44</v>
      </c>
      <c r="M32" s="19">
        <v>1620189.83</v>
      </c>
      <c r="N32" s="19">
        <v>0</v>
      </c>
      <c r="O32" s="19">
        <f t="shared" si="3"/>
        <v>3510411.3523396612</v>
      </c>
      <c r="P32" s="17" t="s">
        <v>45</v>
      </c>
    </row>
    <row r="33" spans="1:16" x14ac:dyDescent="0.3">
      <c r="A33" s="9" t="s">
        <v>1091</v>
      </c>
      <c r="B33" s="10" t="s">
        <v>2056</v>
      </c>
      <c r="C33" s="11" t="s">
        <v>1252</v>
      </c>
      <c r="D33" s="12">
        <v>44127</v>
      </c>
      <c r="E33" s="12">
        <v>44134</v>
      </c>
      <c r="F33" s="13">
        <v>56166581</v>
      </c>
      <c r="G33" s="14">
        <v>0</v>
      </c>
      <c r="H33" s="9" t="s">
        <v>1253</v>
      </c>
      <c r="I33" s="15">
        <v>900152830</v>
      </c>
      <c r="J33" s="16" t="s">
        <v>1241</v>
      </c>
      <c r="K33" s="17">
        <v>2.1666666999999999</v>
      </c>
      <c r="L33" s="18" t="s">
        <v>44</v>
      </c>
      <c r="M33" s="19">
        <v>1620189.83</v>
      </c>
      <c r="N33" s="19">
        <v>0</v>
      </c>
      <c r="O33" s="19">
        <f t="shared" si="3"/>
        <v>3510411.3523396612</v>
      </c>
      <c r="P33" s="17" t="s">
        <v>45</v>
      </c>
    </row>
    <row r="34" spans="1:16" x14ac:dyDescent="0.3">
      <c r="A34" s="9" t="s">
        <v>1091</v>
      </c>
      <c r="B34" s="10" t="s">
        <v>2056</v>
      </c>
      <c r="C34" s="11" t="s">
        <v>1252</v>
      </c>
      <c r="D34" s="12">
        <v>44127</v>
      </c>
      <c r="E34" s="12">
        <v>44134</v>
      </c>
      <c r="F34" s="13">
        <v>56166581</v>
      </c>
      <c r="G34" s="14">
        <v>0</v>
      </c>
      <c r="H34" s="9" t="s">
        <v>1253</v>
      </c>
      <c r="I34" s="15">
        <v>900152830</v>
      </c>
      <c r="J34" s="16" t="s">
        <v>1242</v>
      </c>
      <c r="K34" s="17">
        <v>2.1666666999999999</v>
      </c>
      <c r="L34" s="18" t="s">
        <v>44</v>
      </c>
      <c r="M34" s="19">
        <v>1620189.83</v>
      </c>
      <c r="N34" s="19">
        <v>0</v>
      </c>
      <c r="O34" s="19">
        <f t="shared" si="3"/>
        <v>3510411.3523396612</v>
      </c>
      <c r="P34" s="17" t="s">
        <v>45</v>
      </c>
    </row>
    <row r="35" spans="1:16" x14ac:dyDescent="0.3">
      <c r="A35" s="9" t="s">
        <v>1091</v>
      </c>
      <c r="B35" s="10" t="s">
        <v>2056</v>
      </c>
      <c r="C35" s="11" t="s">
        <v>1252</v>
      </c>
      <c r="D35" s="12">
        <v>44127</v>
      </c>
      <c r="E35" s="12">
        <v>44134</v>
      </c>
      <c r="F35" s="13">
        <v>56166581</v>
      </c>
      <c r="G35" s="14">
        <v>0</v>
      </c>
      <c r="H35" s="9" t="s">
        <v>1253</v>
      </c>
      <c r="I35" s="15">
        <v>900152830</v>
      </c>
      <c r="J35" s="16" t="s">
        <v>1243</v>
      </c>
      <c r="K35" s="17">
        <v>2.1666666999999999</v>
      </c>
      <c r="L35" s="18" t="s">
        <v>44</v>
      </c>
      <c r="M35" s="19">
        <v>1620189.83</v>
      </c>
      <c r="N35" s="19">
        <v>0</v>
      </c>
      <c r="O35" s="19">
        <f t="shared" si="3"/>
        <v>3510411.3523396612</v>
      </c>
      <c r="P35" s="17" t="s">
        <v>45</v>
      </c>
    </row>
    <row r="36" spans="1:16" x14ac:dyDescent="0.3">
      <c r="A36" s="9" t="s">
        <v>1091</v>
      </c>
      <c r="B36" s="10" t="s">
        <v>2056</v>
      </c>
      <c r="C36" s="11" t="s">
        <v>1252</v>
      </c>
      <c r="D36" s="12">
        <v>44127</v>
      </c>
      <c r="E36" s="12">
        <v>44134</v>
      </c>
      <c r="F36" s="13">
        <v>56166581</v>
      </c>
      <c r="G36" s="14">
        <v>0</v>
      </c>
      <c r="H36" s="9" t="s">
        <v>1253</v>
      </c>
      <c r="I36" s="15">
        <v>900152830</v>
      </c>
      <c r="J36" s="16" t="s">
        <v>1244</v>
      </c>
      <c r="K36" s="17">
        <v>2.1666666999999999</v>
      </c>
      <c r="L36" s="18" t="s">
        <v>44</v>
      </c>
      <c r="M36" s="19">
        <v>1620189.83</v>
      </c>
      <c r="N36" s="19">
        <v>0</v>
      </c>
      <c r="O36" s="19">
        <f t="shared" si="3"/>
        <v>3510411.3523396612</v>
      </c>
      <c r="P36" s="17" t="s">
        <v>45</v>
      </c>
    </row>
    <row r="37" spans="1:16" x14ac:dyDescent="0.3">
      <c r="A37" s="9" t="s">
        <v>1091</v>
      </c>
      <c r="B37" s="10" t="s">
        <v>2056</v>
      </c>
      <c r="C37" s="11" t="s">
        <v>1252</v>
      </c>
      <c r="D37" s="12">
        <v>44127</v>
      </c>
      <c r="E37" s="12">
        <v>44134</v>
      </c>
      <c r="F37" s="13">
        <v>56166581</v>
      </c>
      <c r="G37" s="14">
        <v>0</v>
      </c>
      <c r="H37" s="9" t="s">
        <v>1253</v>
      </c>
      <c r="I37" s="15">
        <v>900152830</v>
      </c>
      <c r="J37" s="16" t="s">
        <v>1245</v>
      </c>
      <c r="K37" s="17">
        <v>2.1666666999999999</v>
      </c>
      <c r="L37" s="18" t="s">
        <v>44</v>
      </c>
      <c r="M37" s="19">
        <v>1620189.83</v>
      </c>
      <c r="N37" s="19">
        <v>0</v>
      </c>
      <c r="O37" s="19">
        <f t="shared" si="3"/>
        <v>3510411.3523396612</v>
      </c>
      <c r="P37" s="17" t="s">
        <v>45</v>
      </c>
    </row>
    <row r="38" spans="1:16" x14ac:dyDescent="0.3">
      <c r="A38" s="9" t="s">
        <v>1091</v>
      </c>
      <c r="B38" s="10" t="s">
        <v>2056</v>
      </c>
      <c r="C38" s="11" t="s">
        <v>1252</v>
      </c>
      <c r="D38" s="12">
        <v>44127</v>
      </c>
      <c r="E38" s="12">
        <v>44134</v>
      </c>
      <c r="F38" s="13">
        <v>56166581</v>
      </c>
      <c r="G38" s="14">
        <v>0</v>
      </c>
      <c r="H38" s="9" t="s">
        <v>1253</v>
      </c>
      <c r="I38" s="15">
        <v>900152830</v>
      </c>
      <c r="J38" s="16" t="s">
        <v>1246</v>
      </c>
      <c r="K38" s="17">
        <v>2.1666666999999999</v>
      </c>
      <c r="L38" s="18" t="s">
        <v>44</v>
      </c>
      <c r="M38" s="19">
        <v>1620189.83</v>
      </c>
      <c r="N38" s="19">
        <v>0</v>
      </c>
      <c r="O38" s="19">
        <f t="shared" si="3"/>
        <v>3510411.3523396612</v>
      </c>
      <c r="P38" s="17" t="s">
        <v>45</v>
      </c>
    </row>
    <row r="39" spans="1:16" x14ac:dyDescent="0.3">
      <c r="A39" s="9" t="s">
        <v>1091</v>
      </c>
      <c r="B39" s="10" t="s">
        <v>2056</v>
      </c>
      <c r="C39" s="11" t="s">
        <v>1252</v>
      </c>
      <c r="D39" s="12">
        <v>44127</v>
      </c>
      <c r="E39" s="12">
        <v>44134</v>
      </c>
      <c r="F39" s="13">
        <v>56166581</v>
      </c>
      <c r="G39" s="14">
        <v>0</v>
      </c>
      <c r="H39" s="9" t="s">
        <v>1253</v>
      </c>
      <c r="I39" s="15">
        <v>900152830</v>
      </c>
      <c r="J39" s="16" t="s">
        <v>1247</v>
      </c>
      <c r="K39" s="17">
        <v>2.1666666999999999</v>
      </c>
      <c r="L39" s="18" t="s">
        <v>44</v>
      </c>
      <c r="M39" s="19">
        <v>1620189.83</v>
      </c>
      <c r="N39" s="19">
        <v>0</v>
      </c>
      <c r="O39" s="19">
        <f t="shared" si="3"/>
        <v>3510411.3523396612</v>
      </c>
      <c r="P39" s="17" t="s">
        <v>45</v>
      </c>
    </row>
    <row r="40" spans="1:16" x14ac:dyDescent="0.3">
      <c r="A40" s="9" t="s">
        <v>1091</v>
      </c>
      <c r="B40" s="10" t="s">
        <v>2056</v>
      </c>
      <c r="C40" s="11" t="s">
        <v>1252</v>
      </c>
      <c r="D40" s="12">
        <v>44127</v>
      </c>
      <c r="E40" s="12">
        <v>44134</v>
      </c>
      <c r="F40" s="13">
        <v>56166581</v>
      </c>
      <c r="G40" s="14">
        <v>0</v>
      </c>
      <c r="H40" s="9" t="s">
        <v>1253</v>
      </c>
      <c r="I40" s="15">
        <v>900152830</v>
      </c>
      <c r="J40" s="16" t="s">
        <v>1248</v>
      </c>
      <c r="K40" s="17">
        <v>2.1666666999999999</v>
      </c>
      <c r="L40" s="18" t="s">
        <v>44</v>
      </c>
      <c r="M40" s="19">
        <v>1620189.83</v>
      </c>
      <c r="N40" s="19">
        <v>0</v>
      </c>
      <c r="O40" s="19">
        <f t="shared" si="3"/>
        <v>3510411.3523396612</v>
      </c>
      <c r="P40" s="17" t="s">
        <v>45</v>
      </c>
    </row>
    <row r="41" spans="1:16" x14ac:dyDescent="0.3">
      <c r="A41" s="9" t="s">
        <v>1091</v>
      </c>
      <c r="B41" s="10" t="s">
        <v>2056</v>
      </c>
      <c r="C41" s="11" t="s">
        <v>1252</v>
      </c>
      <c r="D41" s="12">
        <v>44127</v>
      </c>
      <c r="E41" s="12">
        <v>44134</v>
      </c>
      <c r="F41" s="13">
        <v>56166581</v>
      </c>
      <c r="G41" s="14">
        <v>0</v>
      </c>
      <c r="H41" s="9" t="s">
        <v>1253</v>
      </c>
      <c r="I41" s="15">
        <v>900152830</v>
      </c>
      <c r="J41" s="16" t="s">
        <v>1249</v>
      </c>
      <c r="K41" s="17">
        <v>2.1666666999999999</v>
      </c>
      <c r="L41" s="18" t="s">
        <v>44</v>
      </c>
      <c r="M41" s="19">
        <v>1620189.83</v>
      </c>
      <c r="N41" s="19">
        <v>0</v>
      </c>
      <c r="O41" s="19">
        <f t="shared" si="3"/>
        <v>3510411.3523396612</v>
      </c>
      <c r="P41" s="17" t="s">
        <v>45</v>
      </c>
    </row>
    <row r="42" spans="1:16" x14ac:dyDescent="0.3">
      <c r="A42" s="9" t="s">
        <v>1291</v>
      </c>
      <c r="B42" s="10" t="s">
        <v>2248</v>
      </c>
      <c r="C42" s="11" t="s">
        <v>2249</v>
      </c>
      <c r="D42" s="12">
        <v>44012</v>
      </c>
      <c r="E42" s="12">
        <v>44013</v>
      </c>
      <c r="F42" s="13">
        <v>5600000</v>
      </c>
      <c r="G42" s="14">
        <v>0</v>
      </c>
      <c r="H42" s="9" t="s">
        <v>2250</v>
      </c>
      <c r="I42" s="15">
        <v>1088316189</v>
      </c>
      <c r="J42" s="16" t="s">
        <v>2313</v>
      </c>
      <c r="K42" s="17">
        <v>1</v>
      </c>
      <c r="L42" s="18" t="s">
        <v>44</v>
      </c>
      <c r="M42" s="19">
        <v>1400000</v>
      </c>
      <c r="N42" s="19">
        <v>0</v>
      </c>
      <c r="O42" s="19">
        <f>K42*(M42+N42)*4</f>
        <v>5600000</v>
      </c>
      <c r="P42" s="17" t="s">
        <v>45</v>
      </c>
    </row>
    <row r="43" spans="1:16" x14ac:dyDescent="0.3">
      <c r="A43" s="9" t="s">
        <v>1291</v>
      </c>
      <c r="B43" s="10" t="s">
        <v>2251</v>
      </c>
      <c r="C43" s="11" t="s">
        <v>2249</v>
      </c>
      <c r="D43" s="12">
        <v>44012</v>
      </c>
      <c r="E43" s="12">
        <v>44013</v>
      </c>
      <c r="F43" s="13">
        <v>5600000</v>
      </c>
      <c r="G43" s="14">
        <v>0</v>
      </c>
      <c r="H43" s="9" t="s">
        <v>2252</v>
      </c>
      <c r="I43" s="15">
        <v>1088344089</v>
      </c>
      <c r="J43" s="16" t="s">
        <v>2313</v>
      </c>
      <c r="K43" s="17">
        <v>1</v>
      </c>
      <c r="L43" s="18" t="s">
        <v>44</v>
      </c>
      <c r="M43" s="19">
        <v>1400000</v>
      </c>
      <c r="N43" s="19">
        <v>0</v>
      </c>
      <c r="O43" s="19">
        <f>K43*(M43+N43)*4</f>
        <v>5600000</v>
      </c>
      <c r="P43" s="17" t="s">
        <v>45</v>
      </c>
    </row>
    <row r="44" spans="1:16" x14ac:dyDescent="0.3">
      <c r="A44" s="9" t="s">
        <v>1291</v>
      </c>
      <c r="B44" s="10" t="s">
        <v>2253</v>
      </c>
      <c r="C44" s="11" t="s">
        <v>2249</v>
      </c>
      <c r="D44" s="12">
        <v>44012</v>
      </c>
      <c r="E44" s="12">
        <v>44013</v>
      </c>
      <c r="F44" s="13">
        <v>5600000</v>
      </c>
      <c r="G44" s="14">
        <v>0</v>
      </c>
      <c r="H44" s="9" t="s">
        <v>2254</v>
      </c>
      <c r="I44" s="15">
        <v>1089720322</v>
      </c>
      <c r="J44" s="16" t="s">
        <v>2249</v>
      </c>
      <c r="K44" s="17">
        <v>1</v>
      </c>
      <c r="L44" s="18" t="s">
        <v>44</v>
      </c>
      <c r="M44" s="19">
        <v>1400000</v>
      </c>
      <c r="N44" s="19">
        <v>0</v>
      </c>
      <c r="O44" s="19">
        <f>K44*(M44+N44)*4</f>
        <v>5600000</v>
      </c>
      <c r="P44" s="17" t="s">
        <v>45</v>
      </c>
    </row>
    <row r="45" spans="1:16" x14ac:dyDescent="0.3">
      <c r="A45" s="9" t="s">
        <v>1291</v>
      </c>
      <c r="B45" s="10" t="s">
        <v>2255</v>
      </c>
      <c r="C45" s="11" t="s">
        <v>2249</v>
      </c>
      <c r="D45" s="12">
        <v>44012</v>
      </c>
      <c r="E45" s="12">
        <v>44013</v>
      </c>
      <c r="F45" s="13">
        <v>5600000</v>
      </c>
      <c r="G45" s="14">
        <v>0</v>
      </c>
      <c r="H45" s="9" t="s">
        <v>2256</v>
      </c>
      <c r="I45" s="15">
        <v>1088311737</v>
      </c>
      <c r="J45" s="16" t="s">
        <v>2313</v>
      </c>
      <c r="K45" s="17">
        <v>1</v>
      </c>
      <c r="L45" s="18" t="s">
        <v>44</v>
      </c>
      <c r="M45" s="19">
        <v>1400000</v>
      </c>
      <c r="N45" s="19">
        <v>0</v>
      </c>
      <c r="O45" s="19">
        <f>K45*(M45+N45)*4</f>
        <v>5600000</v>
      </c>
      <c r="P45" s="17" t="s">
        <v>45</v>
      </c>
    </row>
    <row r="46" spans="1:16" x14ac:dyDescent="0.3">
      <c r="A46" s="9" t="s">
        <v>1291</v>
      </c>
      <c r="B46" s="10" t="s">
        <v>2257</v>
      </c>
      <c r="C46" s="11" t="s">
        <v>2249</v>
      </c>
      <c r="D46" s="12">
        <v>44012</v>
      </c>
      <c r="E46" s="12">
        <v>44013</v>
      </c>
      <c r="F46" s="13">
        <v>5600000</v>
      </c>
      <c r="G46" s="14">
        <v>0</v>
      </c>
      <c r="H46" s="9" t="s">
        <v>2258</v>
      </c>
      <c r="I46" s="15">
        <v>1225091931</v>
      </c>
      <c r="J46" s="16" t="s">
        <v>2249</v>
      </c>
      <c r="K46" s="17">
        <v>1</v>
      </c>
      <c r="L46" s="18" t="s">
        <v>44</v>
      </c>
      <c r="M46" s="19">
        <v>1400000</v>
      </c>
      <c r="N46" s="19">
        <v>0</v>
      </c>
      <c r="O46" s="19">
        <f>K46*(M46+N46)*4</f>
        <v>5600000</v>
      </c>
      <c r="P46" s="17" t="s">
        <v>45</v>
      </c>
    </row>
    <row r="47" spans="1:16" x14ac:dyDescent="0.3">
      <c r="A47" s="9" t="s">
        <v>1291</v>
      </c>
      <c r="B47" s="10" t="s">
        <v>2259</v>
      </c>
      <c r="C47" s="11" t="s">
        <v>2260</v>
      </c>
      <c r="D47" s="12">
        <v>44012</v>
      </c>
      <c r="E47" s="12">
        <v>44013</v>
      </c>
      <c r="F47" s="13">
        <v>5600000</v>
      </c>
      <c r="G47" s="14">
        <v>0</v>
      </c>
      <c r="H47" s="9" t="s">
        <v>2261</v>
      </c>
      <c r="I47" s="15">
        <v>1088029405</v>
      </c>
      <c r="J47" s="16" t="s">
        <v>2314</v>
      </c>
      <c r="K47" s="17">
        <v>1</v>
      </c>
      <c r="L47" s="18" t="s">
        <v>44</v>
      </c>
      <c r="M47" s="19">
        <v>1400000</v>
      </c>
      <c r="N47" s="19">
        <v>0</v>
      </c>
      <c r="O47" s="19">
        <f>K47*(M47+N47)*4</f>
        <v>5600000</v>
      </c>
      <c r="P47" s="17" t="s">
        <v>45</v>
      </c>
    </row>
    <row r="48" spans="1:16" x14ac:dyDescent="0.3">
      <c r="A48" s="9" t="s">
        <v>1291</v>
      </c>
      <c r="B48" s="10" t="s">
        <v>2262</v>
      </c>
      <c r="C48" s="11" t="s">
        <v>2249</v>
      </c>
      <c r="D48" s="12">
        <v>44012</v>
      </c>
      <c r="E48" s="12">
        <v>44013</v>
      </c>
      <c r="F48" s="13">
        <v>5600000</v>
      </c>
      <c r="G48" s="14">
        <v>0</v>
      </c>
      <c r="H48" s="9" t="s">
        <v>2263</v>
      </c>
      <c r="I48" s="15">
        <v>1088020643</v>
      </c>
      <c r="J48" s="16" t="s">
        <v>2313</v>
      </c>
      <c r="K48" s="17">
        <v>1</v>
      </c>
      <c r="L48" s="18" t="s">
        <v>44</v>
      </c>
      <c r="M48" s="19">
        <v>1400000</v>
      </c>
      <c r="N48" s="19">
        <v>0</v>
      </c>
      <c r="O48" s="19">
        <f>K48*(M48+N48)*4</f>
        <v>5600000</v>
      </c>
      <c r="P48" s="17" t="s">
        <v>45</v>
      </c>
    </row>
    <row r="49" spans="1:16" x14ac:dyDescent="0.3">
      <c r="A49" s="9" t="s">
        <v>1291</v>
      </c>
      <c r="B49" s="10" t="s">
        <v>2264</v>
      </c>
      <c r="C49" s="11" t="s">
        <v>2249</v>
      </c>
      <c r="D49" s="12">
        <v>44012</v>
      </c>
      <c r="E49" s="12">
        <v>44013</v>
      </c>
      <c r="F49" s="13">
        <v>5600000</v>
      </c>
      <c r="G49" s="14">
        <v>0</v>
      </c>
      <c r="H49" s="9" t="s">
        <v>2265</v>
      </c>
      <c r="I49" s="15">
        <v>1086279500</v>
      </c>
      <c r="J49" s="16" t="s">
        <v>2249</v>
      </c>
      <c r="K49" s="17">
        <v>1</v>
      </c>
      <c r="L49" s="18" t="s">
        <v>44</v>
      </c>
      <c r="M49" s="19">
        <v>1400000</v>
      </c>
      <c r="N49" s="19">
        <v>0</v>
      </c>
      <c r="O49" s="19">
        <f>K49*(M49+N49)*4</f>
        <v>5600000</v>
      </c>
      <c r="P49" s="17" t="s">
        <v>45</v>
      </c>
    </row>
    <row r="50" spans="1:16" x14ac:dyDescent="0.3">
      <c r="A50" s="9" t="s">
        <v>1291</v>
      </c>
      <c r="B50" s="10" t="s">
        <v>2266</v>
      </c>
      <c r="C50" s="11" t="s">
        <v>2249</v>
      </c>
      <c r="D50" s="12">
        <v>44012</v>
      </c>
      <c r="E50" s="12">
        <v>44013</v>
      </c>
      <c r="F50" s="13">
        <v>5600000</v>
      </c>
      <c r="G50" s="14">
        <v>0</v>
      </c>
      <c r="H50" s="9" t="s">
        <v>2267</v>
      </c>
      <c r="I50" s="15">
        <v>1004994981</v>
      </c>
      <c r="J50" s="16" t="s">
        <v>2313</v>
      </c>
      <c r="K50" s="17">
        <v>1</v>
      </c>
      <c r="L50" s="18" t="s">
        <v>44</v>
      </c>
      <c r="M50" s="19">
        <v>1400000</v>
      </c>
      <c r="N50" s="19">
        <v>0</v>
      </c>
      <c r="O50" s="19">
        <f>K50*(M50+N50)*4</f>
        <v>5600000</v>
      </c>
      <c r="P50" s="17" t="s">
        <v>45</v>
      </c>
    </row>
    <row r="51" spans="1:16" x14ac:dyDescent="0.3">
      <c r="A51" s="9" t="s">
        <v>1291</v>
      </c>
      <c r="B51" s="10" t="s">
        <v>2268</v>
      </c>
      <c r="C51" s="11" t="s">
        <v>2249</v>
      </c>
      <c r="D51" s="12">
        <v>44012</v>
      </c>
      <c r="E51" s="12">
        <v>44013</v>
      </c>
      <c r="F51" s="13">
        <v>5600000</v>
      </c>
      <c r="G51" s="14">
        <v>0</v>
      </c>
      <c r="H51" s="9" t="s">
        <v>2269</v>
      </c>
      <c r="I51" s="15">
        <v>1089747129</v>
      </c>
      <c r="J51" s="16" t="s">
        <v>2249</v>
      </c>
      <c r="K51" s="17">
        <v>1</v>
      </c>
      <c r="L51" s="18" t="s">
        <v>44</v>
      </c>
      <c r="M51" s="19">
        <v>1400000</v>
      </c>
      <c r="N51" s="19">
        <v>0</v>
      </c>
      <c r="O51" s="19">
        <f>K51*(M51+N51)*4</f>
        <v>5600000</v>
      </c>
      <c r="P51" s="17" t="s">
        <v>45</v>
      </c>
    </row>
    <row r="52" spans="1:16" x14ac:dyDescent="0.3">
      <c r="A52" s="9" t="s">
        <v>1291</v>
      </c>
      <c r="B52" s="10" t="s">
        <v>2270</v>
      </c>
      <c r="C52" s="11" t="s">
        <v>2249</v>
      </c>
      <c r="D52" s="12">
        <v>44012</v>
      </c>
      <c r="E52" s="12">
        <v>44013</v>
      </c>
      <c r="F52" s="13">
        <v>5600000</v>
      </c>
      <c r="G52" s="14">
        <v>0</v>
      </c>
      <c r="H52" s="9" t="s">
        <v>2271</v>
      </c>
      <c r="I52" s="15">
        <v>1087493203</v>
      </c>
      <c r="J52" s="16" t="s">
        <v>2313</v>
      </c>
      <c r="K52" s="17">
        <v>1</v>
      </c>
      <c r="L52" s="18" t="s">
        <v>44</v>
      </c>
      <c r="M52" s="19">
        <v>1400000</v>
      </c>
      <c r="N52" s="19">
        <v>0</v>
      </c>
      <c r="O52" s="19">
        <f>K52*(M52+N52)*4</f>
        <v>5600000</v>
      </c>
      <c r="P52" s="17" t="s">
        <v>45</v>
      </c>
    </row>
    <row r="53" spans="1:16" x14ac:dyDescent="0.3">
      <c r="A53" s="9" t="s">
        <v>1291</v>
      </c>
      <c r="B53" s="10" t="s">
        <v>2272</v>
      </c>
      <c r="C53" s="11" t="s">
        <v>2249</v>
      </c>
      <c r="D53" s="12">
        <v>44012</v>
      </c>
      <c r="E53" s="12">
        <v>44013</v>
      </c>
      <c r="F53" s="13">
        <v>5600000</v>
      </c>
      <c r="G53" s="14">
        <v>0</v>
      </c>
      <c r="H53" s="9" t="s">
        <v>2273</v>
      </c>
      <c r="I53" s="15">
        <v>18607789</v>
      </c>
      <c r="J53" s="16" t="s">
        <v>2249</v>
      </c>
      <c r="K53" s="17">
        <v>1</v>
      </c>
      <c r="L53" s="18" t="s">
        <v>44</v>
      </c>
      <c r="M53" s="19">
        <v>1400000</v>
      </c>
      <c r="N53" s="19">
        <v>0</v>
      </c>
      <c r="O53" s="19">
        <f>K53*(M53+N53)*4</f>
        <v>5600000</v>
      </c>
      <c r="P53" s="17" t="s">
        <v>45</v>
      </c>
    </row>
    <row r="54" spans="1:16" x14ac:dyDescent="0.3">
      <c r="A54" s="9" t="s">
        <v>1291</v>
      </c>
      <c r="B54" s="10" t="s">
        <v>2274</v>
      </c>
      <c r="C54" s="11" t="s">
        <v>2275</v>
      </c>
      <c r="D54" s="12">
        <v>44012</v>
      </c>
      <c r="E54" s="12">
        <v>44013</v>
      </c>
      <c r="F54" s="13">
        <v>11200000</v>
      </c>
      <c r="G54" s="14">
        <v>0</v>
      </c>
      <c r="H54" s="9" t="s">
        <v>2276</v>
      </c>
      <c r="I54" s="15">
        <v>1088301527</v>
      </c>
      <c r="J54" s="16" t="s">
        <v>2312</v>
      </c>
      <c r="K54" s="17">
        <v>1</v>
      </c>
      <c r="L54" s="18" t="s">
        <v>44</v>
      </c>
      <c r="M54" s="19">
        <f>11200000/4</f>
        <v>2800000</v>
      </c>
      <c r="N54" s="19">
        <v>0</v>
      </c>
      <c r="O54" s="19">
        <f>K54*(M54+N54)*4</f>
        <v>11200000</v>
      </c>
      <c r="P54" s="17" t="s">
        <v>45</v>
      </c>
    </row>
    <row r="55" spans="1:16" x14ac:dyDescent="0.3">
      <c r="A55" s="9" t="s">
        <v>1291</v>
      </c>
      <c r="B55" s="10" t="s">
        <v>2277</v>
      </c>
      <c r="C55" s="11" t="s">
        <v>2249</v>
      </c>
      <c r="D55" s="12">
        <v>44012</v>
      </c>
      <c r="E55" s="12">
        <v>44013</v>
      </c>
      <c r="F55" s="13">
        <v>5600000</v>
      </c>
      <c r="G55" s="14">
        <v>0</v>
      </c>
      <c r="H55" s="9" t="s">
        <v>2278</v>
      </c>
      <c r="I55" s="15">
        <v>1004688602</v>
      </c>
      <c r="J55" s="16" t="s">
        <v>2249</v>
      </c>
      <c r="K55" s="17">
        <v>1</v>
      </c>
      <c r="L55" s="18" t="s">
        <v>44</v>
      </c>
      <c r="M55" s="19">
        <v>1400000</v>
      </c>
      <c r="N55" s="19">
        <v>0</v>
      </c>
      <c r="O55" s="19">
        <f>K55*(M55+N55)*4</f>
        <v>5600000</v>
      </c>
      <c r="P55" s="17" t="s">
        <v>45</v>
      </c>
    </row>
    <row r="56" spans="1:16" x14ac:dyDescent="0.3">
      <c r="A56" s="9" t="s">
        <v>1291</v>
      </c>
      <c r="B56" s="10" t="s">
        <v>2279</v>
      </c>
      <c r="C56" s="11" t="s">
        <v>2249</v>
      </c>
      <c r="D56" s="12">
        <v>44012</v>
      </c>
      <c r="E56" s="12">
        <v>44013</v>
      </c>
      <c r="F56" s="13">
        <v>5600000</v>
      </c>
      <c r="G56" s="14">
        <v>0</v>
      </c>
      <c r="H56" s="9" t="s">
        <v>2280</v>
      </c>
      <c r="I56" s="15">
        <v>1010072086</v>
      </c>
      <c r="J56" s="16" t="s">
        <v>2313</v>
      </c>
      <c r="K56" s="17">
        <v>1</v>
      </c>
      <c r="L56" s="18" t="s">
        <v>44</v>
      </c>
      <c r="M56" s="19">
        <v>1400000</v>
      </c>
      <c r="N56" s="19">
        <v>0</v>
      </c>
      <c r="O56" s="19">
        <f>K56*(M56+N56)*4</f>
        <v>5600000</v>
      </c>
      <c r="P56" s="17" t="s">
        <v>45</v>
      </c>
    </row>
    <row r="57" spans="1:16" x14ac:dyDescent="0.3">
      <c r="A57" s="9" t="s">
        <v>1291</v>
      </c>
      <c r="B57" s="10" t="s">
        <v>2281</v>
      </c>
      <c r="C57" s="11" t="s">
        <v>2282</v>
      </c>
      <c r="D57" s="12">
        <v>44013</v>
      </c>
      <c r="E57" s="12">
        <v>44020</v>
      </c>
      <c r="F57" s="13">
        <v>5600000</v>
      </c>
      <c r="G57" s="14">
        <v>0</v>
      </c>
      <c r="H57" s="9" t="s">
        <v>2283</v>
      </c>
      <c r="I57" s="15">
        <v>1088537971</v>
      </c>
      <c r="J57" s="16" t="s">
        <v>2282</v>
      </c>
      <c r="K57" s="17">
        <v>1</v>
      </c>
      <c r="L57" s="18" t="s">
        <v>44</v>
      </c>
      <c r="M57" s="19">
        <f>5600000/4</f>
        <v>1400000</v>
      </c>
      <c r="N57" s="19">
        <v>0</v>
      </c>
      <c r="O57" s="19">
        <f>K57*(M57+N57)*4</f>
        <v>5600000</v>
      </c>
      <c r="P57" s="17" t="s">
        <v>45</v>
      </c>
    </row>
    <row r="58" spans="1:16" x14ac:dyDescent="0.3">
      <c r="A58" s="9" t="s">
        <v>1291</v>
      </c>
      <c r="B58" s="10" t="s">
        <v>2284</v>
      </c>
      <c r="C58" s="11" t="s">
        <v>2285</v>
      </c>
      <c r="D58" s="12">
        <v>44013</v>
      </c>
      <c r="E58" s="12">
        <v>44018</v>
      </c>
      <c r="F58" s="13">
        <v>5600000</v>
      </c>
      <c r="G58" s="14">
        <v>0</v>
      </c>
      <c r="H58" s="9" t="s">
        <v>2286</v>
      </c>
      <c r="I58" s="15">
        <v>1144187232</v>
      </c>
      <c r="J58" s="16" t="s">
        <v>2285</v>
      </c>
      <c r="K58" s="17">
        <v>1</v>
      </c>
      <c r="L58" s="18" t="s">
        <v>44</v>
      </c>
      <c r="M58" s="19">
        <v>1400000</v>
      </c>
      <c r="N58" s="19">
        <v>0</v>
      </c>
      <c r="O58" s="19">
        <f>K58*(M58+N58)*4</f>
        <v>5600000</v>
      </c>
      <c r="P58" s="17" t="s">
        <v>45</v>
      </c>
    </row>
    <row r="59" spans="1:16" x14ac:dyDescent="0.3">
      <c r="A59" s="9" t="s">
        <v>1291</v>
      </c>
      <c r="B59" s="10" t="s">
        <v>2287</v>
      </c>
      <c r="C59" s="11" t="s">
        <v>2288</v>
      </c>
      <c r="D59" s="12">
        <v>44014</v>
      </c>
      <c r="E59" s="12">
        <v>44020</v>
      </c>
      <c r="F59" s="13">
        <v>5600000</v>
      </c>
      <c r="G59" s="14">
        <v>0</v>
      </c>
      <c r="H59" s="9" t="s">
        <v>2289</v>
      </c>
      <c r="I59" s="15">
        <v>1007220451</v>
      </c>
      <c r="J59" s="16" t="s">
        <v>2288</v>
      </c>
      <c r="K59" s="17">
        <v>1</v>
      </c>
      <c r="L59" s="18" t="s">
        <v>44</v>
      </c>
      <c r="M59" s="19">
        <v>1400000</v>
      </c>
      <c r="N59" s="19">
        <v>0</v>
      </c>
      <c r="O59" s="19">
        <f>K59*(M59+N59)*4</f>
        <v>5600000</v>
      </c>
      <c r="P59" s="17" t="s">
        <v>45</v>
      </c>
    </row>
    <row r="60" spans="1:16" x14ac:dyDescent="0.3">
      <c r="A60" s="9" t="s">
        <v>1291</v>
      </c>
      <c r="B60" s="10" t="s">
        <v>2290</v>
      </c>
      <c r="C60" s="11" t="s">
        <v>2291</v>
      </c>
      <c r="D60" s="12">
        <v>44014</v>
      </c>
      <c r="E60" s="12">
        <v>44021</v>
      </c>
      <c r="F60" s="13">
        <v>5600000</v>
      </c>
      <c r="G60" s="14">
        <v>0</v>
      </c>
      <c r="H60" s="9" t="s">
        <v>2292</v>
      </c>
      <c r="I60" s="15">
        <v>1087488224</v>
      </c>
      <c r="J60" s="16" t="s">
        <v>2291</v>
      </c>
      <c r="K60" s="17">
        <v>1</v>
      </c>
      <c r="L60" s="18" t="s">
        <v>44</v>
      </c>
      <c r="M60" s="19">
        <v>1400000</v>
      </c>
      <c r="N60" s="19">
        <v>0</v>
      </c>
      <c r="O60" s="19">
        <f>K60*(M60+N60)*4</f>
        <v>5600000</v>
      </c>
      <c r="P60" s="17" t="s">
        <v>45</v>
      </c>
    </row>
    <row r="61" spans="1:16" x14ac:dyDescent="0.3">
      <c r="A61" s="9" t="s">
        <v>1291</v>
      </c>
      <c r="B61" s="10" t="s">
        <v>2293</v>
      </c>
      <c r="C61" s="11" t="s">
        <v>2294</v>
      </c>
      <c r="D61" s="12">
        <v>44140</v>
      </c>
      <c r="E61" s="12">
        <v>44141</v>
      </c>
      <c r="F61" s="13">
        <v>2566667</v>
      </c>
      <c r="G61" s="14">
        <v>0</v>
      </c>
      <c r="H61" s="9" t="s">
        <v>2295</v>
      </c>
      <c r="I61" s="15">
        <v>1114208285</v>
      </c>
      <c r="J61" s="16" t="s">
        <v>2294</v>
      </c>
      <c r="K61" s="17">
        <v>2</v>
      </c>
      <c r="L61" s="18" t="s">
        <v>44</v>
      </c>
      <c r="M61" s="19">
        <f>2566668/2</f>
        <v>1283334</v>
      </c>
      <c r="N61" s="19">
        <v>0</v>
      </c>
      <c r="O61" s="19">
        <f>K61*(M61+N61)</f>
        <v>2566668</v>
      </c>
      <c r="P61" s="17" t="s">
        <v>45</v>
      </c>
    </row>
    <row r="62" spans="1:16" x14ac:dyDescent="0.3">
      <c r="A62" s="9" t="s">
        <v>1291</v>
      </c>
      <c r="B62" s="10" t="s">
        <v>2296</v>
      </c>
      <c r="C62" s="11" t="s">
        <v>2294</v>
      </c>
      <c r="D62" s="12">
        <v>44134</v>
      </c>
      <c r="E62" s="12">
        <v>44141</v>
      </c>
      <c r="F62" s="13">
        <v>2566667</v>
      </c>
      <c r="G62" s="14">
        <v>0</v>
      </c>
      <c r="H62" s="9" t="s">
        <v>2297</v>
      </c>
      <c r="I62" s="15">
        <v>1037613273</v>
      </c>
      <c r="J62" s="16" t="s">
        <v>2294</v>
      </c>
      <c r="K62" s="17">
        <v>2</v>
      </c>
      <c r="L62" s="18" t="s">
        <v>44</v>
      </c>
      <c r="M62" s="19">
        <v>1283334</v>
      </c>
      <c r="N62" s="19">
        <v>0</v>
      </c>
      <c r="O62" s="19">
        <f>K62*(M62+N62)</f>
        <v>2566668</v>
      </c>
      <c r="P62" s="17" t="s">
        <v>45</v>
      </c>
    </row>
    <row r="63" spans="1:16" x14ac:dyDescent="0.3">
      <c r="A63" s="9" t="s">
        <v>1306</v>
      </c>
      <c r="B63" s="10" t="s">
        <v>1307</v>
      </c>
      <c r="C63" s="11" t="s">
        <v>1308</v>
      </c>
      <c r="D63" s="12">
        <v>43994</v>
      </c>
      <c r="E63" s="12">
        <v>43999</v>
      </c>
      <c r="F63" s="13">
        <v>32430000</v>
      </c>
      <c r="G63" s="14">
        <v>0</v>
      </c>
      <c r="H63" s="9" t="s">
        <v>1309</v>
      </c>
      <c r="I63" s="15">
        <v>891500595</v>
      </c>
      <c r="J63" s="16" t="s">
        <v>1310</v>
      </c>
      <c r="K63" s="17">
        <v>15</v>
      </c>
      <c r="L63" s="18" t="s">
        <v>44</v>
      </c>
      <c r="M63" s="19">
        <v>2162000</v>
      </c>
      <c r="N63" s="19">
        <v>0</v>
      </c>
      <c r="O63" s="19">
        <f t="shared" ref="O63:O66" si="4">K63*(M63+N63)</f>
        <v>32430000</v>
      </c>
      <c r="P63" s="17" t="s">
        <v>45</v>
      </c>
    </row>
    <row r="64" spans="1:16" x14ac:dyDescent="0.3">
      <c r="A64" s="9" t="s">
        <v>1306</v>
      </c>
      <c r="B64" s="10" t="s">
        <v>1380</v>
      </c>
      <c r="C64" s="11" t="s">
        <v>1381</v>
      </c>
      <c r="D64" s="12">
        <v>44090</v>
      </c>
      <c r="E64" s="12">
        <v>44092</v>
      </c>
      <c r="F64" s="13">
        <v>51600000</v>
      </c>
      <c r="G64" s="14">
        <v>-802667</v>
      </c>
      <c r="H64" s="9" t="s">
        <v>1382</v>
      </c>
      <c r="I64" s="15" t="s">
        <v>1383</v>
      </c>
      <c r="J64" s="16" t="s">
        <v>1310</v>
      </c>
      <c r="K64" s="17">
        <v>30</v>
      </c>
      <c r="L64" s="18" t="s">
        <v>44</v>
      </c>
      <c r="M64" s="19">
        <v>1720000</v>
      </c>
      <c r="N64" s="19">
        <v>0</v>
      </c>
      <c r="O64" s="19">
        <f t="shared" si="4"/>
        <v>51600000</v>
      </c>
      <c r="P64" s="17" t="s">
        <v>45</v>
      </c>
    </row>
    <row r="65" spans="1:16" x14ac:dyDescent="0.3">
      <c r="A65" s="9" t="s">
        <v>1306</v>
      </c>
      <c r="B65" s="10" t="s">
        <v>1384</v>
      </c>
      <c r="C65" s="11" t="s">
        <v>1385</v>
      </c>
      <c r="D65" s="12">
        <v>44158</v>
      </c>
      <c r="E65" s="12">
        <v>44160</v>
      </c>
      <c r="F65" s="13">
        <v>27720000</v>
      </c>
      <c r="G65" s="14">
        <v>-1980000</v>
      </c>
      <c r="H65" s="9" t="s">
        <v>1386</v>
      </c>
      <c r="I65" s="15" t="s">
        <v>1383</v>
      </c>
      <c r="J65" s="16" t="s">
        <v>1310</v>
      </c>
      <c r="K65" s="17">
        <v>504</v>
      </c>
      <c r="L65" s="18" t="s">
        <v>44</v>
      </c>
      <c r="M65" s="19">
        <v>55000</v>
      </c>
      <c r="N65" s="19">
        <v>0</v>
      </c>
      <c r="O65" s="19">
        <f t="shared" si="4"/>
        <v>27720000</v>
      </c>
      <c r="P65" s="17" t="s">
        <v>45</v>
      </c>
    </row>
    <row r="66" spans="1:16" x14ac:dyDescent="0.3">
      <c r="A66" s="9" t="s">
        <v>1472</v>
      </c>
      <c r="B66" s="10" t="s">
        <v>1557</v>
      </c>
      <c r="C66" s="11" t="s">
        <v>1558</v>
      </c>
      <c r="D66" s="12">
        <v>47430</v>
      </c>
      <c r="E66" s="12">
        <v>43907</v>
      </c>
      <c r="F66" s="13">
        <v>0</v>
      </c>
      <c r="G66" s="14">
        <v>5308690</v>
      </c>
      <c r="H66" s="9" t="s">
        <v>1559</v>
      </c>
      <c r="I66" s="15">
        <v>800209088</v>
      </c>
      <c r="J66" s="16" t="s">
        <v>1560</v>
      </c>
      <c r="K66" s="17">
        <v>10</v>
      </c>
      <c r="L66" s="18" t="s">
        <v>44</v>
      </c>
      <c r="M66" s="19">
        <v>530869</v>
      </c>
      <c r="N66" s="19">
        <v>0</v>
      </c>
      <c r="O66" s="19">
        <f t="shared" si="4"/>
        <v>5308690</v>
      </c>
      <c r="P66" s="17" t="s">
        <v>45</v>
      </c>
    </row>
    <row r="67" spans="1:16" x14ac:dyDescent="0.3">
      <c r="A67" s="9" t="s">
        <v>1571</v>
      </c>
      <c r="B67" s="10" t="s">
        <v>2089</v>
      </c>
      <c r="C67" s="11" t="s">
        <v>1604</v>
      </c>
      <c r="D67" s="12">
        <v>44002</v>
      </c>
      <c r="E67" s="12">
        <v>44005</v>
      </c>
      <c r="F67" s="13">
        <v>8000000</v>
      </c>
      <c r="G67" s="14">
        <v>0</v>
      </c>
      <c r="H67" s="9" t="s">
        <v>1605</v>
      </c>
      <c r="I67" s="15">
        <v>46674022</v>
      </c>
      <c r="J67" s="16" t="s">
        <v>1606</v>
      </c>
      <c r="K67" s="17">
        <v>1</v>
      </c>
      <c r="L67" s="18" t="s">
        <v>44</v>
      </c>
      <c r="M67" s="19">
        <v>1600000</v>
      </c>
      <c r="N67" s="19">
        <v>0</v>
      </c>
      <c r="O67" s="19">
        <f>K67*(M67+N67)*5</f>
        <v>8000000</v>
      </c>
      <c r="P67" s="17" t="s">
        <v>45</v>
      </c>
    </row>
    <row r="68" spans="1:16" x14ac:dyDescent="0.3">
      <c r="A68" s="9" t="s">
        <v>1571</v>
      </c>
      <c r="B68" s="10" t="s">
        <v>2090</v>
      </c>
      <c r="C68" s="11" t="s">
        <v>1604</v>
      </c>
      <c r="D68" s="12">
        <v>44002</v>
      </c>
      <c r="E68" s="12">
        <v>44005</v>
      </c>
      <c r="F68" s="13">
        <v>8000000</v>
      </c>
      <c r="G68" s="14">
        <v>0</v>
      </c>
      <c r="H68" s="9" t="s">
        <v>1607</v>
      </c>
      <c r="I68" s="15">
        <v>1057600328</v>
      </c>
      <c r="J68" s="16" t="s">
        <v>1606</v>
      </c>
      <c r="K68" s="17">
        <v>1</v>
      </c>
      <c r="L68" s="18" t="s">
        <v>44</v>
      </c>
      <c r="M68" s="19">
        <v>1600000</v>
      </c>
      <c r="N68" s="19">
        <v>0</v>
      </c>
      <c r="O68" s="19">
        <f t="shared" ref="O68:O76" si="5">K68*(M68+N68)*5</f>
        <v>8000000</v>
      </c>
      <c r="P68" s="17" t="s">
        <v>45</v>
      </c>
    </row>
    <row r="69" spans="1:16" x14ac:dyDescent="0.3">
      <c r="A69" s="9" t="s">
        <v>1571</v>
      </c>
      <c r="B69" s="10" t="s">
        <v>2091</v>
      </c>
      <c r="C69" s="11" t="s">
        <v>1604</v>
      </c>
      <c r="D69" s="12">
        <v>44002</v>
      </c>
      <c r="E69" s="12">
        <v>44005</v>
      </c>
      <c r="F69" s="13">
        <v>8000000</v>
      </c>
      <c r="G69" s="14">
        <v>0</v>
      </c>
      <c r="H69" s="9" t="s">
        <v>1608</v>
      </c>
      <c r="I69" s="15">
        <v>1049620718</v>
      </c>
      <c r="J69" s="16" t="s">
        <v>1606</v>
      </c>
      <c r="K69" s="17">
        <v>1</v>
      </c>
      <c r="L69" s="18" t="s">
        <v>44</v>
      </c>
      <c r="M69" s="19">
        <v>1600000</v>
      </c>
      <c r="N69" s="19">
        <v>0</v>
      </c>
      <c r="O69" s="19">
        <f t="shared" si="5"/>
        <v>8000000</v>
      </c>
      <c r="P69" s="17" t="s">
        <v>45</v>
      </c>
    </row>
    <row r="70" spans="1:16" x14ac:dyDescent="0.3">
      <c r="A70" s="9" t="s">
        <v>1571</v>
      </c>
      <c r="B70" s="10" t="s">
        <v>2092</v>
      </c>
      <c r="C70" s="11" t="s">
        <v>1604</v>
      </c>
      <c r="D70" s="12">
        <v>44005</v>
      </c>
      <c r="E70" s="12">
        <v>44006</v>
      </c>
      <c r="F70" s="13">
        <v>8000000</v>
      </c>
      <c r="G70" s="14">
        <v>0</v>
      </c>
      <c r="H70" s="9" t="s">
        <v>1609</v>
      </c>
      <c r="I70" s="15">
        <v>1002523080</v>
      </c>
      <c r="J70" s="16" t="s">
        <v>1606</v>
      </c>
      <c r="K70" s="17">
        <v>1</v>
      </c>
      <c r="L70" s="18" t="s">
        <v>44</v>
      </c>
      <c r="M70" s="19">
        <v>1600000</v>
      </c>
      <c r="N70" s="19">
        <v>0</v>
      </c>
      <c r="O70" s="19">
        <f t="shared" si="5"/>
        <v>8000000</v>
      </c>
      <c r="P70" s="17" t="s">
        <v>45</v>
      </c>
    </row>
    <row r="71" spans="1:16" x14ac:dyDescent="0.3">
      <c r="A71" s="9" t="s">
        <v>1571</v>
      </c>
      <c r="B71" s="10" t="s">
        <v>2093</v>
      </c>
      <c r="C71" s="11" t="s">
        <v>1604</v>
      </c>
      <c r="D71" s="12">
        <v>44006</v>
      </c>
      <c r="E71" s="12">
        <v>44007</v>
      </c>
      <c r="F71" s="13">
        <v>8000000</v>
      </c>
      <c r="G71" s="14">
        <v>0</v>
      </c>
      <c r="H71" s="9" t="s">
        <v>1610</v>
      </c>
      <c r="I71" s="15">
        <v>1055312482</v>
      </c>
      <c r="J71" s="16" t="s">
        <v>1606</v>
      </c>
      <c r="K71" s="17">
        <v>1</v>
      </c>
      <c r="L71" s="18" t="s">
        <v>44</v>
      </c>
      <c r="M71" s="19">
        <v>1600000</v>
      </c>
      <c r="N71" s="19">
        <v>0</v>
      </c>
      <c r="O71" s="19">
        <f t="shared" si="5"/>
        <v>8000000</v>
      </c>
      <c r="P71" s="17" t="s">
        <v>45</v>
      </c>
    </row>
    <row r="72" spans="1:16" x14ac:dyDescent="0.3">
      <c r="A72" s="9" t="s">
        <v>1571</v>
      </c>
      <c r="B72" s="10" t="s">
        <v>2094</v>
      </c>
      <c r="C72" s="11" t="s">
        <v>1604</v>
      </c>
      <c r="D72" s="12">
        <v>44012</v>
      </c>
      <c r="E72" s="12">
        <v>44164</v>
      </c>
      <c r="F72" s="13">
        <v>8000000</v>
      </c>
      <c r="G72" s="14">
        <v>0</v>
      </c>
      <c r="H72" s="9" t="s">
        <v>1611</v>
      </c>
      <c r="I72" s="15">
        <v>46385024</v>
      </c>
      <c r="J72" s="16" t="s">
        <v>1606</v>
      </c>
      <c r="K72" s="17">
        <v>1</v>
      </c>
      <c r="L72" s="18" t="s">
        <v>44</v>
      </c>
      <c r="M72" s="19">
        <v>1600000</v>
      </c>
      <c r="N72" s="19">
        <v>0</v>
      </c>
      <c r="O72" s="19">
        <f t="shared" si="5"/>
        <v>8000000</v>
      </c>
      <c r="P72" s="17" t="s">
        <v>45</v>
      </c>
    </row>
    <row r="73" spans="1:16" x14ac:dyDescent="0.3">
      <c r="A73" s="9" t="s">
        <v>1571</v>
      </c>
      <c r="B73" s="10" t="s">
        <v>2095</v>
      </c>
      <c r="C73" s="11" t="s">
        <v>1604</v>
      </c>
      <c r="D73" s="12">
        <v>44013</v>
      </c>
      <c r="E73" s="12">
        <v>44165</v>
      </c>
      <c r="F73" s="13">
        <v>8000000</v>
      </c>
      <c r="G73" s="14">
        <v>0</v>
      </c>
      <c r="H73" s="9" t="s">
        <v>1612</v>
      </c>
      <c r="I73" s="15">
        <v>46369935</v>
      </c>
      <c r="J73" s="16" t="s">
        <v>1606</v>
      </c>
      <c r="K73" s="17">
        <v>1</v>
      </c>
      <c r="L73" s="18" t="s">
        <v>44</v>
      </c>
      <c r="M73" s="19">
        <v>1600000</v>
      </c>
      <c r="N73" s="19">
        <v>0</v>
      </c>
      <c r="O73" s="19">
        <f t="shared" si="5"/>
        <v>8000000</v>
      </c>
      <c r="P73" s="17" t="s">
        <v>45</v>
      </c>
    </row>
    <row r="74" spans="1:16" x14ac:dyDescent="0.3">
      <c r="A74" s="9" t="s">
        <v>1571</v>
      </c>
      <c r="B74" s="10" t="s">
        <v>2096</v>
      </c>
      <c r="C74" s="11" t="s">
        <v>1604</v>
      </c>
      <c r="D74" s="12">
        <v>44013</v>
      </c>
      <c r="E74" s="12">
        <v>44165</v>
      </c>
      <c r="F74" s="13">
        <v>8000000</v>
      </c>
      <c r="G74" s="14">
        <v>0</v>
      </c>
      <c r="H74" s="9" t="s">
        <v>1613</v>
      </c>
      <c r="I74" s="15">
        <v>1052314062</v>
      </c>
      <c r="J74" s="16" t="s">
        <v>1606</v>
      </c>
      <c r="K74" s="17">
        <v>1</v>
      </c>
      <c r="L74" s="18" t="s">
        <v>44</v>
      </c>
      <c r="M74" s="19">
        <v>1600000</v>
      </c>
      <c r="N74" s="19">
        <v>0</v>
      </c>
      <c r="O74" s="19">
        <f t="shared" si="5"/>
        <v>8000000</v>
      </c>
      <c r="P74" s="17" t="s">
        <v>45</v>
      </c>
    </row>
    <row r="75" spans="1:16" x14ac:dyDescent="0.3">
      <c r="A75" s="9" t="s">
        <v>1571</v>
      </c>
      <c r="B75" s="10" t="s">
        <v>2097</v>
      </c>
      <c r="C75" s="11" t="s">
        <v>1604</v>
      </c>
      <c r="D75" s="12">
        <v>44018</v>
      </c>
      <c r="E75" s="12">
        <v>44170</v>
      </c>
      <c r="F75" s="13">
        <v>8000000</v>
      </c>
      <c r="G75" s="14">
        <v>0</v>
      </c>
      <c r="H75" s="9" t="s">
        <v>1614</v>
      </c>
      <c r="I75" s="15">
        <v>23783733</v>
      </c>
      <c r="J75" s="16" t="s">
        <v>1606</v>
      </c>
      <c r="K75" s="17">
        <v>1</v>
      </c>
      <c r="L75" s="18" t="s">
        <v>44</v>
      </c>
      <c r="M75" s="19">
        <v>1600000</v>
      </c>
      <c r="N75" s="19">
        <v>0</v>
      </c>
      <c r="O75" s="19">
        <f t="shared" si="5"/>
        <v>8000000</v>
      </c>
      <c r="P75" s="17" t="s">
        <v>45</v>
      </c>
    </row>
    <row r="76" spans="1:16" x14ac:dyDescent="0.3">
      <c r="A76" s="9" t="s">
        <v>1571</v>
      </c>
      <c r="B76" s="10" t="s">
        <v>2098</v>
      </c>
      <c r="C76" s="11" t="s">
        <v>1604</v>
      </c>
      <c r="D76" s="12">
        <v>44041</v>
      </c>
      <c r="E76" s="12">
        <v>44193</v>
      </c>
      <c r="F76" s="13">
        <v>8000000</v>
      </c>
      <c r="G76" s="14">
        <v>0</v>
      </c>
      <c r="H76" s="9" t="s">
        <v>1615</v>
      </c>
      <c r="I76" s="15">
        <v>23427767</v>
      </c>
      <c r="J76" s="16" t="s">
        <v>1606</v>
      </c>
      <c r="K76" s="17">
        <v>1</v>
      </c>
      <c r="L76" s="18" t="s">
        <v>44</v>
      </c>
      <c r="M76" s="19">
        <v>1600000</v>
      </c>
      <c r="N76" s="19">
        <v>0</v>
      </c>
      <c r="O76" s="19">
        <f t="shared" si="5"/>
        <v>8000000</v>
      </c>
      <c r="P76" s="17" t="s">
        <v>45</v>
      </c>
    </row>
    <row r="77" spans="1:16" x14ac:dyDescent="0.3">
      <c r="A77" s="9" t="s">
        <v>1571</v>
      </c>
      <c r="B77" s="10" t="s">
        <v>2099</v>
      </c>
      <c r="C77" s="11" t="s">
        <v>1604</v>
      </c>
      <c r="D77" s="12">
        <v>44061</v>
      </c>
      <c r="E77" s="12">
        <v>44061</v>
      </c>
      <c r="F77" s="13">
        <v>7093333</v>
      </c>
      <c r="G77" s="14">
        <v>0</v>
      </c>
      <c r="H77" s="9" t="s">
        <v>1616</v>
      </c>
      <c r="I77" s="15">
        <v>1116544773</v>
      </c>
      <c r="J77" s="16" t="s">
        <v>1950</v>
      </c>
      <c r="K77" s="17">
        <v>1</v>
      </c>
      <c r="L77" s="18" t="s">
        <v>44</v>
      </c>
      <c r="M77" s="19">
        <v>1600000</v>
      </c>
      <c r="N77" s="19">
        <v>0</v>
      </c>
      <c r="O77" s="19">
        <f>(M77/30)*133</f>
        <v>7093333.333333334</v>
      </c>
      <c r="P77" s="17" t="s">
        <v>45</v>
      </c>
    </row>
    <row r="78" spans="1:16" x14ac:dyDescent="0.3">
      <c r="A78" s="9" t="s">
        <v>1571</v>
      </c>
      <c r="B78" s="10" t="s">
        <v>2100</v>
      </c>
      <c r="C78" s="11" t="s">
        <v>1604</v>
      </c>
      <c r="D78" s="12">
        <v>44069</v>
      </c>
      <c r="E78" s="12">
        <v>44069</v>
      </c>
      <c r="F78" s="13">
        <v>6613333</v>
      </c>
      <c r="G78" s="14">
        <v>0</v>
      </c>
      <c r="H78" s="9" t="s">
        <v>1617</v>
      </c>
      <c r="I78" s="15">
        <v>1049654832</v>
      </c>
      <c r="J78" s="16" t="s">
        <v>1951</v>
      </c>
      <c r="K78" s="17">
        <v>1</v>
      </c>
      <c r="L78" s="18" t="s">
        <v>44</v>
      </c>
      <c r="M78" s="19">
        <v>1600000</v>
      </c>
      <c r="N78" s="19">
        <v>0</v>
      </c>
      <c r="O78" s="19">
        <f>(M78/30)*124</f>
        <v>6613333.333333334</v>
      </c>
      <c r="P78" s="17" t="s">
        <v>45</v>
      </c>
    </row>
    <row r="79" spans="1:16" x14ac:dyDescent="0.3">
      <c r="A79" s="9" t="s">
        <v>1571</v>
      </c>
      <c r="B79" s="10" t="s">
        <v>2101</v>
      </c>
      <c r="C79" s="11" t="s">
        <v>1604</v>
      </c>
      <c r="D79" s="12">
        <v>44090</v>
      </c>
      <c r="E79" s="12">
        <v>44090</v>
      </c>
      <c r="F79" s="13">
        <v>4906667</v>
      </c>
      <c r="G79" s="14">
        <v>0</v>
      </c>
      <c r="H79" s="9" t="s">
        <v>1618</v>
      </c>
      <c r="I79" s="15">
        <v>1072446724</v>
      </c>
      <c r="J79" s="16" t="s">
        <v>1952</v>
      </c>
      <c r="K79" s="17">
        <v>1</v>
      </c>
      <c r="L79" s="18" t="s">
        <v>44</v>
      </c>
      <c r="M79" s="19">
        <v>1600000</v>
      </c>
      <c r="N79" s="19">
        <v>0</v>
      </c>
      <c r="O79" s="19">
        <f>(M79/30)*92</f>
        <v>4906666.666666667</v>
      </c>
      <c r="P79" s="17" t="s">
        <v>45</v>
      </c>
    </row>
    <row r="80" spans="1:16" x14ac:dyDescent="0.3">
      <c r="A80" s="9" t="s">
        <v>1571</v>
      </c>
      <c r="B80" s="10" t="s">
        <v>2102</v>
      </c>
      <c r="C80" s="11" t="s">
        <v>1604</v>
      </c>
      <c r="D80" s="12">
        <v>44091</v>
      </c>
      <c r="E80" s="12">
        <v>44091</v>
      </c>
      <c r="F80" s="13">
        <v>5546667</v>
      </c>
      <c r="G80" s="14">
        <v>0</v>
      </c>
      <c r="H80" s="9" t="s">
        <v>1619</v>
      </c>
      <c r="I80" s="15">
        <v>23637799</v>
      </c>
      <c r="J80" s="16" t="s">
        <v>1953</v>
      </c>
      <c r="K80" s="17">
        <v>1</v>
      </c>
      <c r="L80" s="18" t="s">
        <v>44</v>
      </c>
      <c r="M80" s="19">
        <v>1600000</v>
      </c>
      <c r="N80" s="19">
        <v>0</v>
      </c>
      <c r="O80" s="19">
        <f>(M80/30)*104</f>
        <v>5546666.666666667</v>
      </c>
      <c r="P80" s="17" t="s">
        <v>45</v>
      </c>
    </row>
    <row r="81" spans="1:16" x14ac:dyDescent="0.3">
      <c r="A81" s="9" t="s">
        <v>1571</v>
      </c>
      <c r="B81" s="10" t="s">
        <v>2106</v>
      </c>
      <c r="C81" s="11" t="s">
        <v>1604</v>
      </c>
      <c r="D81" s="12">
        <v>44109</v>
      </c>
      <c r="E81" s="12">
        <v>44109</v>
      </c>
      <c r="F81" s="13">
        <v>4586667</v>
      </c>
      <c r="G81" s="14">
        <v>0</v>
      </c>
      <c r="H81" s="9" t="s">
        <v>1622</v>
      </c>
      <c r="I81" s="15">
        <v>33645337</v>
      </c>
      <c r="J81" s="16" t="s">
        <v>1954</v>
      </c>
      <c r="K81" s="17">
        <v>1</v>
      </c>
      <c r="L81" s="18" t="s">
        <v>44</v>
      </c>
      <c r="M81" s="19">
        <v>1600000</v>
      </c>
      <c r="N81" s="19">
        <v>0</v>
      </c>
      <c r="O81" s="19">
        <f>(M81/30)*86</f>
        <v>4586666.666666667</v>
      </c>
      <c r="P81" s="17" t="s">
        <v>45</v>
      </c>
    </row>
    <row r="82" spans="1:16" x14ac:dyDescent="0.3">
      <c r="A82" s="9" t="s">
        <v>1629</v>
      </c>
      <c r="B82" s="10" t="s">
        <v>2118</v>
      </c>
      <c r="C82" s="11" t="s">
        <v>1673</v>
      </c>
      <c r="D82" s="12">
        <v>44000</v>
      </c>
      <c r="E82" s="12">
        <v>44006</v>
      </c>
      <c r="F82" s="13">
        <v>69638644</v>
      </c>
      <c r="G82" s="14">
        <v>0</v>
      </c>
      <c r="H82" s="9" t="s">
        <v>1674</v>
      </c>
      <c r="I82" s="15">
        <v>80014829</v>
      </c>
      <c r="J82" s="16" t="s">
        <v>1675</v>
      </c>
      <c r="K82" s="17">
        <v>15</v>
      </c>
      <c r="L82" s="18" t="s">
        <v>44</v>
      </c>
      <c r="M82" s="19">
        <v>1547525.4</v>
      </c>
      <c r="N82" s="19">
        <v>0</v>
      </c>
      <c r="O82" s="19">
        <f>K82*(M82+N82)*3</f>
        <v>69638643</v>
      </c>
      <c r="P82" s="21" t="s">
        <v>45</v>
      </c>
    </row>
    <row r="83" spans="1:16" x14ac:dyDescent="0.3">
      <c r="A83" s="9" t="s">
        <v>1692</v>
      </c>
      <c r="B83" s="10" t="s">
        <v>2137</v>
      </c>
      <c r="C83" s="11" t="s">
        <v>2158</v>
      </c>
      <c r="D83" s="12" t="s">
        <v>2138</v>
      </c>
      <c r="E83" s="12" t="s">
        <v>2138</v>
      </c>
      <c r="F83" s="13">
        <v>5006952</v>
      </c>
      <c r="G83" s="14">
        <v>0</v>
      </c>
      <c r="H83" s="9" t="s">
        <v>2139</v>
      </c>
      <c r="I83" s="15">
        <v>1013582086</v>
      </c>
      <c r="J83" s="16" t="s">
        <v>2167</v>
      </c>
      <c r="K83" s="17">
        <v>1</v>
      </c>
      <c r="L83" s="18" t="s">
        <v>44</v>
      </c>
      <c r="M83" s="19">
        <v>1668984</v>
      </c>
      <c r="N83" s="19">
        <v>0</v>
      </c>
      <c r="O83" s="19">
        <f>K83*(M83+N83)*3</f>
        <v>5006952</v>
      </c>
      <c r="P83" s="17" t="s">
        <v>45</v>
      </c>
    </row>
    <row r="84" spans="1:16" x14ac:dyDescent="0.3">
      <c r="A84" s="9" t="s">
        <v>1692</v>
      </c>
      <c r="B84" s="10" t="s">
        <v>2140</v>
      </c>
      <c r="C84" s="11" t="s">
        <v>2158</v>
      </c>
      <c r="D84" s="12" t="s">
        <v>2138</v>
      </c>
      <c r="E84" s="12" t="s">
        <v>2138</v>
      </c>
      <c r="F84" s="13">
        <v>5006952</v>
      </c>
      <c r="G84" s="14">
        <v>0</v>
      </c>
      <c r="H84" s="9" t="s">
        <v>2141</v>
      </c>
      <c r="I84" s="15">
        <v>86049403</v>
      </c>
      <c r="J84" s="16" t="s">
        <v>2167</v>
      </c>
      <c r="K84" s="17">
        <v>1</v>
      </c>
      <c r="L84" s="18" t="s">
        <v>44</v>
      </c>
      <c r="M84" s="19">
        <v>1668984</v>
      </c>
      <c r="N84" s="19">
        <v>0</v>
      </c>
      <c r="O84" s="19">
        <f>K84*(M84+N84)*3</f>
        <v>5006952</v>
      </c>
      <c r="P84" s="17" t="s">
        <v>45</v>
      </c>
    </row>
  </sheetData>
  <dataValidations count="13">
    <dataValidation type="date" allowBlank="1" showInputMessage="1" errorTitle="Entrada no válida" error="Por favor escriba una fecha válida (AAAA/MM/DD)" promptTitle="Ingrese una fecha (AAAA/MM/DD)" prompt=" Registre la fecha en la cual se SUSCRIBIÓ el contrato  (Formato AAAA/MM/DD)." sqref="D21:D23 D5:D8 E27:E28 D27:D30 D12 E5 D2:E2 D14:D16 D71 D74 D83:D84">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4:I4 G2 E14:E16 E6:E8 E29:E30 E12 A4:B4 E21:E23 A2:A3 E65 E71 E74 A82:B82 D82:I82 E83:E84">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1:F23 F5:F8 F26:F30 F14:F16 F12 F71 F73:F7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1:A30 A5:A17 A42:A63">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6 I6 I13:I16 I29:I30 I21:I23 I67:I71 I74:I7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6:H30 H6:H8 H13:H17 H21:H23 H67:H7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6:B30 B6:B8 B14:B17 B21:B24 B72:B73">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7:I8 I24 I72:I73">
      <formula1>-99999999999</formula1>
      <formula2>99999999999</formula2>
    </dataValidation>
    <dataValidation type="date" allowBlank="1" showInputMessage="1" errorTitle="Entrada no válida" error="Por favor escriba una fecha válida (AAAA/MM/DD)" promptTitle="Ingrese una fecha (AAAA/MM/DD)" prompt=" Registre la fecha en la cual se SUSCRIBIÓ la orden (Formato AAAA/MM/DD)." sqref="D31:E41 D13:E13 D10:E10 D17:E20 D24:E26 D67:E70 D72:E72 D74:E74">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25:G30 G10:G12 G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13 F63 F67:F70 F72:F7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H24 C72:C73">
      <formula1>0</formula1>
      <formula2>390</formula2>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workbookViewId="0">
      <selection activeCell="B9" sqref="B9"/>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196</v>
      </c>
      <c r="B2" s="10" t="s">
        <v>166</v>
      </c>
      <c r="C2" s="11" t="s">
        <v>227</v>
      </c>
      <c r="D2" s="12">
        <v>43948</v>
      </c>
      <c r="E2" s="12">
        <v>43957</v>
      </c>
      <c r="F2" s="13">
        <v>73631250</v>
      </c>
      <c r="G2" s="14">
        <v>73631250</v>
      </c>
      <c r="H2" s="9" t="s">
        <v>213</v>
      </c>
      <c r="I2" s="15">
        <v>900594755</v>
      </c>
      <c r="J2" s="16" t="s">
        <v>228</v>
      </c>
      <c r="K2" s="17">
        <v>300</v>
      </c>
      <c r="L2" s="18" t="s">
        <v>92</v>
      </c>
      <c r="M2" s="19">
        <v>137500</v>
      </c>
      <c r="N2" s="19">
        <f>M2*0.19</f>
        <v>26125</v>
      </c>
      <c r="O2" s="19">
        <f>K2*(M2+N2)*3</f>
        <v>147262500</v>
      </c>
      <c r="P2" s="17" t="s">
        <v>229</v>
      </c>
    </row>
    <row r="3" spans="1:16" x14ac:dyDescent="0.3">
      <c r="A3" s="9" t="s">
        <v>196</v>
      </c>
      <c r="B3" s="10">
        <v>55664</v>
      </c>
      <c r="C3" s="11" t="s">
        <v>1761</v>
      </c>
      <c r="D3" s="12">
        <v>44098</v>
      </c>
      <c r="E3" s="12">
        <v>44098</v>
      </c>
      <c r="F3" s="13">
        <v>74998626</v>
      </c>
      <c r="G3" s="14">
        <v>0</v>
      </c>
      <c r="H3" s="9" t="s">
        <v>266</v>
      </c>
      <c r="I3" s="15">
        <v>830037278</v>
      </c>
      <c r="J3" s="16" t="s">
        <v>1753</v>
      </c>
      <c r="K3" s="17">
        <v>113</v>
      </c>
      <c r="L3" s="18" t="s">
        <v>92</v>
      </c>
      <c r="M3" s="19">
        <v>185911.666</v>
      </c>
      <c r="N3" s="19">
        <f>M3*0.19</f>
        <v>35323.216540000001</v>
      </c>
      <c r="O3" s="19">
        <f>K3*(M3+N3)*3</f>
        <v>74998625.181060001</v>
      </c>
      <c r="P3" s="17" t="s">
        <v>229</v>
      </c>
    </row>
    <row r="4" spans="1:16" x14ac:dyDescent="0.3">
      <c r="A4" s="9" t="s">
        <v>196</v>
      </c>
      <c r="B4" s="10">
        <v>58060</v>
      </c>
      <c r="C4" s="11" t="s">
        <v>1765</v>
      </c>
      <c r="D4" s="12">
        <v>44144</v>
      </c>
      <c r="E4" s="12">
        <v>44144</v>
      </c>
      <c r="F4" s="13">
        <v>104615280</v>
      </c>
      <c r="G4" s="14">
        <v>0</v>
      </c>
      <c r="H4" s="9" t="s">
        <v>270</v>
      </c>
      <c r="I4" s="15">
        <v>830118348</v>
      </c>
      <c r="J4" s="16" t="s">
        <v>1752</v>
      </c>
      <c r="K4" s="17">
        <v>222</v>
      </c>
      <c r="L4" s="18" t="s">
        <v>92</v>
      </c>
      <c r="M4" s="19">
        <v>198000</v>
      </c>
      <c r="N4" s="19">
        <f>M4*0.19</f>
        <v>37620</v>
      </c>
      <c r="O4" s="19">
        <f>K4*(M4+N4)*2</f>
        <v>104615280</v>
      </c>
      <c r="P4" s="17" t="s">
        <v>229</v>
      </c>
    </row>
    <row r="5" spans="1:16" x14ac:dyDescent="0.3">
      <c r="A5" s="9" t="s">
        <v>690</v>
      </c>
      <c r="B5" s="10" t="s">
        <v>1980</v>
      </c>
      <c r="C5" s="11" t="s">
        <v>765</v>
      </c>
      <c r="D5" s="12">
        <v>44005</v>
      </c>
      <c r="E5" s="12">
        <v>44005</v>
      </c>
      <c r="F5" s="13">
        <v>16964640</v>
      </c>
      <c r="G5" s="14">
        <v>0</v>
      </c>
      <c r="H5" s="9" t="s">
        <v>766</v>
      </c>
      <c r="I5" s="15">
        <v>830037278</v>
      </c>
      <c r="J5" s="16" t="s">
        <v>767</v>
      </c>
      <c r="K5" s="17">
        <v>33</v>
      </c>
      <c r="L5" s="18" t="s">
        <v>92</v>
      </c>
      <c r="M5" s="19">
        <v>108000</v>
      </c>
      <c r="N5" s="19">
        <f>M5*0.19</f>
        <v>20520</v>
      </c>
      <c r="O5" s="19">
        <f>K5*(M5+N5)*4</f>
        <v>16964640</v>
      </c>
      <c r="P5" s="17" t="s">
        <v>229</v>
      </c>
    </row>
    <row r="6" spans="1:16" x14ac:dyDescent="0.3">
      <c r="A6" s="9" t="s">
        <v>1472</v>
      </c>
      <c r="B6" s="10" t="s">
        <v>1481</v>
      </c>
      <c r="C6" s="11" t="s">
        <v>1482</v>
      </c>
      <c r="D6" s="12">
        <v>43917</v>
      </c>
      <c r="E6" s="12">
        <v>43917</v>
      </c>
      <c r="F6" s="13">
        <v>56500000</v>
      </c>
      <c r="G6" s="14">
        <v>0</v>
      </c>
      <c r="H6" s="9" t="s">
        <v>1483</v>
      </c>
      <c r="I6" s="15">
        <v>92640352</v>
      </c>
      <c r="J6" s="16" t="s">
        <v>1485</v>
      </c>
      <c r="K6" s="17">
        <v>20</v>
      </c>
      <c r="L6" s="18" t="s">
        <v>92</v>
      </c>
      <c r="M6" s="19">
        <v>250000</v>
      </c>
      <c r="N6" s="19">
        <f>M6*0.19</f>
        <v>47500</v>
      </c>
      <c r="O6" s="19">
        <f t="shared" ref="O6" si="0">K6*(M6+N6)</f>
        <v>5950000</v>
      </c>
      <c r="P6" s="17" t="s">
        <v>229</v>
      </c>
    </row>
  </sheetData>
  <dataValidations count="11">
    <dataValidation type="date" allowBlank="1" showInputMessage="1" errorTitle="Entrada no válida" error="Por favor escriba una fecha válida (AAAA/MM/DD)" promptTitle="Ingrese una fecha (AAAA/MM/DD)" prompt=" Registre la fecha en la cual se SUSCRIBIÓ el contrato  (Formato AAAA/MM/DD)." sqref="D2 D6">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 E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2 F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5:A6">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2 I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2 H5:H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 B6">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D5:E5">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5">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6">
      <formula1>-9223372036854770000</formula1>
      <formula2>9223372036854770000</formula2>
    </dataValidation>
  </dataValidation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sqref="A1:P3"/>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1472</v>
      </c>
      <c r="B2" s="10" t="s">
        <v>1561</v>
      </c>
      <c r="C2" s="11" t="s">
        <v>1562</v>
      </c>
      <c r="D2" s="12">
        <v>43770</v>
      </c>
      <c r="E2" s="12">
        <v>43936</v>
      </c>
      <c r="F2" s="13">
        <v>0</v>
      </c>
      <c r="G2" s="14">
        <v>31068000</v>
      </c>
      <c r="H2" s="9" t="s">
        <v>1563</v>
      </c>
      <c r="I2" s="15">
        <v>812000152</v>
      </c>
      <c r="J2" s="16" t="s">
        <v>1566</v>
      </c>
      <c r="K2" s="17">
        <v>76</v>
      </c>
      <c r="L2" s="29" t="s">
        <v>36</v>
      </c>
      <c r="M2" s="19">
        <v>3170</v>
      </c>
      <c r="N2" s="19">
        <v>0</v>
      </c>
      <c r="O2" s="19">
        <f t="shared" ref="O2:O3" si="0">K2*(M2+N2)</f>
        <v>240920</v>
      </c>
      <c r="P2" s="17" t="s">
        <v>1567</v>
      </c>
    </row>
    <row r="3" spans="1:16" x14ac:dyDescent="0.3">
      <c r="A3" s="9" t="s">
        <v>1472</v>
      </c>
      <c r="B3" s="10" t="s">
        <v>1561</v>
      </c>
      <c r="C3" s="11" t="s">
        <v>1562</v>
      </c>
      <c r="D3" s="12">
        <v>43770</v>
      </c>
      <c r="E3" s="12">
        <v>43936</v>
      </c>
      <c r="F3" s="13">
        <v>0</v>
      </c>
      <c r="G3" s="14">
        <v>31068000</v>
      </c>
      <c r="H3" s="9" t="s">
        <v>1563</v>
      </c>
      <c r="I3" s="15">
        <v>812000152</v>
      </c>
      <c r="J3" s="16" t="s">
        <v>1566</v>
      </c>
      <c r="K3" s="17">
        <v>114</v>
      </c>
      <c r="L3" s="29" t="s">
        <v>36</v>
      </c>
      <c r="M3" s="19">
        <v>3170</v>
      </c>
      <c r="N3" s="19">
        <v>0</v>
      </c>
      <c r="O3" s="19">
        <f t="shared" si="0"/>
        <v>361380</v>
      </c>
      <c r="P3" s="17" t="s">
        <v>1567</v>
      </c>
    </row>
  </sheetData>
  <dataValidations count="4">
    <dataValidation type="decimal" allowBlank="1" showInputMessage="1" showErrorMessage="1" errorTitle="Entrada no válida" error="Por favor escriba un número" promptTitle="Escriba un número en esta casilla" prompt=" Registre el NIT del Contratista  SIN DÍGITO DE VERIFICACIÓN, NI PUNTOS NI COMAS." sqref="I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D3">
      <formula1>-9223372036854770000</formula1>
      <formula2>9223372036854770000</formula2>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workbookViewId="0">
      <selection sqref="A1:P6"/>
    </sheetView>
  </sheetViews>
  <sheetFormatPr baseColWidth="10" defaultRowHeight="14.4" x14ac:dyDescent="0.3"/>
  <cols>
    <col min="1" max="1" width="15.88671875" customWidth="1"/>
    <col min="2" max="2" width="28.886718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50</v>
      </c>
      <c r="C2" s="11" t="s">
        <v>47</v>
      </c>
      <c r="D2" s="12">
        <v>43967</v>
      </c>
      <c r="E2" s="12">
        <v>43967</v>
      </c>
      <c r="F2" s="13">
        <v>2546740</v>
      </c>
      <c r="G2" s="14">
        <v>0</v>
      </c>
      <c r="H2" s="9" t="s">
        <v>51</v>
      </c>
      <c r="I2" s="15">
        <v>900906970</v>
      </c>
      <c r="J2" s="16" t="s">
        <v>52</v>
      </c>
      <c r="K2" s="17">
        <v>130</v>
      </c>
      <c r="L2" s="18" t="s">
        <v>53</v>
      </c>
      <c r="M2" s="19">
        <v>16462.439999999999</v>
      </c>
      <c r="N2" s="19">
        <f t="shared" ref="N2" si="0">M2*0.19</f>
        <v>3127.8635999999997</v>
      </c>
      <c r="O2" s="19">
        <f t="shared" ref="O2:O6" si="1">K2*(M2+N2)</f>
        <v>2546739.4679999999</v>
      </c>
      <c r="P2" s="17" t="s">
        <v>54</v>
      </c>
    </row>
    <row r="3" spans="1:16" x14ac:dyDescent="0.3">
      <c r="A3" s="9" t="s">
        <v>690</v>
      </c>
      <c r="B3" s="10" t="s">
        <v>2039</v>
      </c>
      <c r="C3" s="11" t="s">
        <v>748</v>
      </c>
      <c r="D3" s="12">
        <v>43987</v>
      </c>
      <c r="E3" s="12">
        <v>43987</v>
      </c>
      <c r="F3" s="13">
        <v>4002050</v>
      </c>
      <c r="G3" s="14">
        <v>0</v>
      </c>
      <c r="H3" s="9" t="s">
        <v>749</v>
      </c>
      <c r="I3" s="15">
        <v>9009069703</v>
      </c>
      <c r="J3" s="16" t="s">
        <v>748</v>
      </c>
      <c r="K3" s="17">
        <v>225</v>
      </c>
      <c r="L3" s="18" t="s">
        <v>53</v>
      </c>
      <c r="M3" s="19">
        <v>14200</v>
      </c>
      <c r="N3" s="19">
        <f>M3*0.19</f>
        <v>2698</v>
      </c>
      <c r="O3" s="19">
        <f t="shared" si="1"/>
        <v>3802050</v>
      </c>
      <c r="P3" s="17" t="s">
        <v>54</v>
      </c>
    </row>
    <row r="4" spans="1:16" x14ac:dyDescent="0.3">
      <c r="A4" s="33" t="s">
        <v>690</v>
      </c>
      <c r="B4" s="33" t="s">
        <v>794</v>
      </c>
      <c r="C4" s="33" t="s">
        <v>1805</v>
      </c>
      <c r="D4" s="34">
        <v>44147</v>
      </c>
      <c r="E4" s="34">
        <v>44147</v>
      </c>
      <c r="F4" s="35">
        <v>1512840</v>
      </c>
      <c r="G4" s="14">
        <v>0</v>
      </c>
      <c r="H4" s="33" t="s">
        <v>795</v>
      </c>
      <c r="I4" s="36">
        <v>900671732</v>
      </c>
      <c r="J4" s="33" t="s">
        <v>1869</v>
      </c>
      <c r="K4" s="17">
        <v>200</v>
      </c>
      <c r="L4" s="37" t="s">
        <v>53</v>
      </c>
      <c r="M4" s="19">
        <v>5180</v>
      </c>
      <c r="N4" s="19">
        <f>M4*0.19</f>
        <v>984.2</v>
      </c>
      <c r="O4" s="19">
        <f t="shared" si="1"/>
        <v>1232840</v>
      </c>
      <c r="P4" s="17" t="s">
        <v>54</v>
      </c>
    </row>
    <row r="5" spans="1:16" x14ac:dyDescent="0.3">
      <c r="A5" s="9" t="s">
        <v>1291</v>
      </c>
      <c r="B5" s="10">
        <v>50631</v>
      </c>
      <c r="C5" s="11" t="s">
        <v>2306</v>
      </c>
      <c r="D5" s="12">
        <v>43999</v>
      </c>
      <c r="E5" s="12">
        <v>43999</v>
      </c>
      <c r="F5" s="13">
        <v>585480</v>
      </c>
      <c r="G5" s="14">
        <v>0</v>
      </c>
      <c r="H5" s="9" t="s">
        <v>2172</v>
      </c>
      <c r="I5" s="15">
        <v>830037946</v>
      </c>
      <c r="J5" s="16" t="s">
        <v>2182</v>
      </c>
      <c r="K5" s="17">
        <v>30</v>
      </c>
      <c r="L5" s="18" t="s">
        <v>53</v>
      </c>
      <c r="M5" s="19">
        <v>19516</v>
      </c>
      <c r="N5" s="19">
        <v>0</v>
      </c>
      <c r="O5" s="19">
        <f t="shared" si="1"/>
        <v>585480</v>
      </c>
      <c r="P5" s="17" t="s">
        <v>54</v>
      </c>
    </row>
    <row r="6" spans="1:16" x14ac:dyDescent="0.3">
      <c r="A6" s="9" t="s">
        <v>1291</v>
      </c>
      <c r="B6" s="10">
        <v>62249</v>
      </c>
      <c r="C6" s="11" t="s">
        <v>2228</v>
      </c>
      <c r="D6" s="12">
        <v>44183</v>
      </c>
      <c r="E6" s="12">
        <v>44183</v>
      </c>
      <c r="F6" s="13">
        <v>8034335.5</v>
      </c>
      <c r="G6" s="14">
        <v>0</v>
      </c>
      <c r="H6" s="9" t="s">
        <v>795</v>
      </c>
      <c r="I6" s="15">
        <v>900671732</v>
      </c>
      <c r="J6" s="16" t="s">
        <v>2229</v>
      </c>
      <c r="K6" s="17">
        <v>30</v>
      </c>
      <c r="L6" s="18" t="s">
        <v>2230</v>
      </c>
      <c r="M6" s="19">
        <v>5690</v>
      </c>
      <c r="N6" s="19">
        <f>+M6*19%</f>
        <v>1081.0999999999999</v>
      </c>
      <c r="O6" s="19">
        <f t="shared" si="1"/>
        <v>203133</v>
      </c>
      <c r="P6" s="17" t="s">
        <v>54</v>
      </c>
    </row>
  </sheetData>
  <dataValidations count="10">
    <dataValidation type="date" allowBlank="1" showInputMessage="1" errorTitle="Entrada no válida" error="Por favor escriba una fecha válida (AAAA/MM/DD)" promptTitle="Ingrese una fecha (AAAA/MM/DD)" prompt=" Registre la fecha en la cual se SUSCRIBIÓ la orden (Formato AAAA/MM/DD)." sqref="D2:E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3:A6">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3:I4 I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H4 H6">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B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4">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 E4">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4">
      <formula1>0</formula1>
      <formula2>390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election sqref="A1:P9"/>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16</v>
      </c>
      <c r="B2" s="10" t="s">
        <v>88</v>
      </c>
      <c r="C2" s="11" t="s">
        <v>89</v>
      </c>
      <c r="D2" s="12">
        <v>44054</v>
      </c>
      <c r="E2" s="12">
        <v>44075</v>
      </c>
      <c r="F2" s="13">
        <v>37425024</v>
      </c>
      <c r="G2" s="14">
        <v>0</v>
      </c>
      <c r="H2" s="9" t="s">
        <v>90</v>
      </c>
      <c r="I2" s="15">
        <v>830053669</v>
      </c>
      <c r="J2" s="16" t="s">
        <v>91</v>
      </c>
      <c r="K2" s="17">
        <v>78</v>
      </c>
      <c r="L2" s="18" t="s">
        <v>92</v>
      </c>
      <c r="M2" s="19">
        <v>134400</v>
      </c>
      <c r="N2" s="19">
        <v>25536</v>
      </c>
      <c r="O2" s="19">
        <v>37425024</v>
      </c>
      <c r="P2" s="17" t="s">
        <v>93</v>
      </c>
    </row>
    <row r="3" spans="1:16" x14ac:dyDescent="0.3">
      <c r="A3" s="9" t="s">
        <v>16</v>
      </c>
      <c r="B3" s="10" t="s">
        <v>88</v>
      </c>
      <c r="C3" s="11" t="s">
        <v>89</v>
      </c>
      <c r="D3" s="12">
        <v>44054</v>
      </c>
      <c r="E3" s="12">
        <v>44075</v>
      </c>
      <c r="F3" s="22">
        <v>37425024</v>
      </c>
      <c r="G3" s="23">
        <v>6237504.7999999998</v>
      </c>
      <c r="H3" s="9" t="s">
        <v>90</v>
      </c>
      <c r="I3" s="15">
        <v>830053669</v>
      </c>
      <c r="J3" s="16" t="s">
        <v>103</v>
      </c>
      <c r="K3" s="17">
        <v>78</v>
      </c>
      <c r="L3" s="18" t="s">
        <v>92</v>
      </c>
      <c r="M3" s="19">
        <v>134400</v>
      </c>
      <c r="N3" s="19">
        <v>25536</v>
      </c>
      <c r="O3" s="19">
        <v>43662528</v>
      </c>
      <c r="P3" s="17" t="s">
        <v>93</v>
      </c>
    </row>
    <row r="4" spans="1:16" x14ac:dyDescent="0.3">
      <c r="A4" s="9" t="s">
        <v>284</v>
      </c>
      <c r="B4" s="10" t="s">
        <v>335</v>
      </c>
      <c r="C4" s="11" t="s">
        <v>336</v>
      </c>
      <c r="D4" s="12">
        <v>43969</v>
      </c>
      <c r="E4" s="12">
        <v>43969</v>
      </c>
      <c r="F4" s="13">
        <v>34947325</v>
      </c>
      <c r="G4" s="14">
        <v>0</v>
      </c>
      <c r="H4" s="9" t="s">
        <v>337</v>
      </c>
      <c r="I4" s="15">
        <v>830044858</v>
      </c>
      <c r="J4" s="16" t="s">
        <v>338</v>
      </c>
      <c r="K4" s="17">
        <v>7</v>
      </c>
      <c r="L4" s="18" t="s">
        <v>92</v>
      </c>
      <c r="M4" s="19">
        <v>269000</v>
      </c>
      <c r="N4" s="19">
        <v>51110</v>
      </c>
      <c r="O4" s="19">
        <v>2240770</v>
      </c>
      <c r="P4" s="17" t="s">
        <v>93</v>
      </c>
    </row>
    <row r="5" spans="1:16" x14ac:dyDescent="0.3">
      <c r="A5" s="9" t="s">
        <v>284</v>
      </c>
      <c r="B5" s="10" t="s">
        <v>335</v>
      </c>
      <c r="C5" s="11" t="s">
        <v>336</v>
      </c>
      <c r="D5" s="12">
        <v>43969</v>
      </c>
      <c r="E5" s="12">
        <v>43969</v>
      </c>
      <c r="F5" s="13">
        <v>34947325</v>
      </c>
      <c r="G5" s="14">
        <v>0</v>
      </c>
      <c r="H5" s="9" t="s">
        <v>337</v>
      </c>
      <c r="I5" s="15">
        <v>830044858</v>
      </c>
      <c r="J5" s="16" t="s">
        <v>339</v>
      </c>
      <c r="K5" s="17">
        <v>46</v>
      </c>
      <c r="L5" s="18" t="s">
        <v>92</v>
      </c>
      <c r="M5" s="19">
        <v>219000</v>
      </c>
      <c r="N5" s="19">
        <v>41610</v>
      </c>
      <c r="O5" s="19">
        <v>11988060</v>
      </c>
      <c r="P5" s="17" t="s">
        <v>93</v>
      </c>
    </row>
    <row r="6" spans="1:16" x14ac:dyDescent="0.3">
      <c r="A6" s="9" t="s">
        <v>284</v>
      </c>
      <c r="B6" s="10" t="s">
        <v>335</v>
      </c>
      <c r="C6" s="11" t="s">
        <v>336</v>
      </c>
      <c r="D6" s="12">
        <v>43969</v>
      </c>
      <c r="E6" s="12">
        <v>43969</v>
      </c>
      <c r="F6" s="13">
        <v>34947325</v>
      </c>
      <c r="G6" s="14">
        <v>0</v>
      </c>
      <c r="H6" s="9" t="s">
        <v>337</v>
      </c>
      <c r="I6" s="15">
        <v>830044858</v>
      </c>
      <c r="J6" s="16" t="s">
        <v>340</v>
      </c>
      <c r="K6" s="17">
        <v>53</v>
      </c>
      <c r="L6" s="18" t="s">
        <v>92</v>
      </c>
      <c r="M6" s="19">
        <v>219000</v>
      </c>
      <c r="N6" s="19">
        <v>41610</v>
      </c>
      <c r="O6" s="19">
        <v>13812330</v>
      </c>
      <c r="P6" s="17" t="s">
        <v>93</v>
      </c>
    </row>
    <row r="7" spans="1:16" x14ac:dyDescent="0.3">
      <c r="A7" s="9" t="s">
        <v>284</v>
      </c>
      <c r="B7" s="10" t="s">
        <v>386</v>
      </c>
      <c r="C7" s="11" t="s">
        <v>1780</v>
      </c>
      <c r="D7" s="12">
        <v>44124</v>
      </c>
      <c r="E7" s="12">
        <v>44126</v>
      </c>
      <c r="F7" s="13">
        <v>31256540</v>
      </c>
      <c r="G7" s="14">
        <v>0</v>
      </c>
      <c r="H7" s="9" t="s">
        <v>387</v>
      </c>
      <c r="I7" s="15">
        <v>830044858</v>
      </c>
      <c r="J7" s="16" t="s">
        <v>1754</v>
      </c>
      <c r="K7" s="17">
        <v>53</v>
      </c>
      <c r="L7" s="18" t="s">
        <v>92</v>
      </c>
      <c r="M7" s="44">
        <v>247792.45</v>
      </c>
      <c r="N7" s="19">
        <v>47080.565500000004</v>
      </c>
      <c r="O7" s="19">
        <v>31256539.643000003</v>
      </c>
      <c r="P7" s="17" t="s">
        <v>93</v>
      </c>
    </row>
    <row r="8" spans="1:16" x14ac:dyDescent="0.3">
      <c r="A8" s="9" t="s">
        <v>558</v>
      </c>
      <c r="B8" s="10" t="s">
        <v>617</v>
      </c>
      <c r="C8" s="28" t="s">
        <v>1792</v>
      </c>
      <c r="D8" s="12">
        <v>44021</v>
      </c>
      <c r="E8" s="12">
        <v>44025</v>
      </c>
      <c r="F8" s="13">
        <v>6664000</v>
      </c>
      <c r="G8" s="14">
        <v>3332000</v>
      </c>
      <c r="H8" s="9" t="s">
        <v>618</v>
      </c>
      <c r="I8" s="15">
        <v>807002365</v>
      </c>
      <c r="J8" s="16" t="s">
        <v>1966</v>
      </c>
      <c r="K8" s="17">
        <v>10</v>
      </c>
      <c r="L8" s="18" t="s">
        <v>92</v>
      </c>
      <c r="M8" s="19">
        <v>280000</v>
      </c>
      <c r="N8" s="19">
        <v>53200</v>
      </c>
      <c r="O8" s="19">
        <v>6664000</v>
      </c>
      <c r="P8" s="17" t="s">
        <v>93</v>
      </c>
    </row>
    <row r="9" spans="1:16" x14ac:dyDescent="0.3">
      <c r="A9" s="9" t="s">
        <v>558</v>
      </c>
      <c r="B9" s="10" t="s">
        <v>624</v>
      </c>
      <c r="C9" s="28" t="s">
        <v>1795</v>
      </c>
      <c r="D9" s="12">
        <v>44113</v>
      </c>
      <c r="E9" s="12">
        <v>44117</v>
      </c>
      <c r="F9" s="13">
        <v>17992800</v>
      </c>
      <c r="G9" s="14">
        <v>3427200</v>
      </c>
      <c r="H9" s="9" t="s">
        <v>625</v>
      </c>
      <c r="I9" s="15">
        <v>807002365</v>
      </c>
      <c r="J9" s="16" t="s">
        <v>1969</v>
      </c>
      <c r="K9" s="17">
        <v>21</v>
      </c>
      <c r="L9" s="18" t="s">
        <v>92</v>
      </c>
      <c r="M9" s="19">
        <v>360000</v>
      </c>
      <c r="N9" s="19">
        <v>68400</v>
      </c>
      <c r="O9" s="19">
        <v>17992800</v>
      </c>
      <c r="P9" s="17" t="s">
        <v>93</v>
      </c>
    </row>
  </sheetData>
  <dataValidations count="11">
    <dataValidation type="date" allowBlank="1" showInputMessage="1" errorTitle="Entrada no válida" error="Por favor escriba una fecha válida (AAAA/MM/DD)" promptTitle="Ingrese una fecha (AAAA/MM/DD)" prompt=" Registre la fecha en la cual se SUSCRIBIÓ la orden (Formato AAAA/MM/DD)." sqref="D4:E5">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4:A9">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I4:I5">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4:H5 H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4:B5 B7:B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4:F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7">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2:A3 E7:E9">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7:F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I7">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G8:G9">
      <formula1>-9223372036854770000</formula1>
      <formula2>9223372036854770000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H1" workbookViewId="0">
      <selection sqref="A1:P5"/>
    </sheetView>
  </sheetViews>
  <sheetFormatPr baseColWidth="10" defaultRowHeight="14.4" x14ac:dyDescent="0.3"/>
  <cols>
    <col min="1" max="1" width="15.88671875" customWidth="1"/>
    <col min="2" max="2" width="27.7773437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558</v>
      </c>
      <c r="B2" s="10" t="s">
        <v>2025</v>
      </c>
      <c r="C2" s="28" t="s">
        <v>645</v>
      </c>
      <c r="D2" s="12">
        <v>44163</v>
      </c>
      <c r="E2" s="12">
        <v>44163</v>
      </c>
      <c r="F2" s="13">
        <v>5550000</v>
      </c>
      <c r="G2" s="14">
        <v>0</v>
      </c>
      <c r="H2" s="9" t="s">
        <v>646</v>
      </c>
      <c r="I2" s="15">
        <v>800237412</v>
      </c>
      <c r="J2" s="16" t="s">
        <v>647</v>
      </c>
      <c r="K2" s="17">
        <v>775</v>
      </c>
      <c r="L2" s="18" t="s">
        <v>471</v>
      </c>
      <c r="M2" s="19">
        <v>7096.7741935483873</v>
      </c>
      <c r="N2" s="19">
        <v>0</v>
      </c>
      <c r="O2" s="19">
        <v>5500000</v>
      </c>
      <c r="P2" s="16" t="s">
        <v>647</v>
      </c>
    </row>
    <row r="3" spans="1:16" x14ac:dyDescent="0.3">
      <c r="A3" s="9" t="s">
        <v>861</v>
      </c>
      <c r="B3" s="10" t="s">
        <v>975</v>
      </c>
      <c r="C3" s="11" t="s">
        <v>976</v>
      </c>
      <c r="D3" s="12">
        <v>44126</v>
      </c>
      <c r="E3" s="12">
        <v>44134</v>
      </c>
      <c r="F3" s="13">
        <v>2962800</v>
      </c>
      <c r="G3" s="14">
        <v>0</v>
      </c>
      <c r="H3" s="9" t="s">
        <v>977</v>
      </c>
      <c r="I3" s="15" t="s">
        <v>978</v>
      </c>
      <c r="J3" s="16" t="s">
        <v>980</v>
      </c>
      <c r="K3" s="17">
        <v>40</v>
      </c>
      <c r="L3" s="18" t="s">
        <v>471</v>
      </c>
      <c r="M3" s="19">
        <v>2595</v>
      </c>
      <c r="N3" s="19">
        <v>0</v>
      </c>
      <c r="O3" s="19">
        <v>103800</v>
      </c>
      <c r="P3" s="16" t="s">
        <v>647</v>
      </c>
    </row>
    <row r="4" spans="1:16" x14ac:dyDescent="0.3">
      <c r="A4" s="9" t="s">
        <v>1050</v>
      </c>
      <c r="B4" s="10" t="s">
        <v>1080</v>
      </c>
      <c r="C4" s="11" t="s">
        <v>1081</v>
      </c>
      <c r="D4" s="12">
        <v>43999</v>
      </c>
      <c r="E4" s="12">
        <v>43999</v>
      </c>
      <c r="F4" s="13">
        <v>18939000</v>
      </c>
      <c r="G4" s="14">
        <v>0</v>
      </c>
      <c r="H4" s="9" t="s">
        <v>1082</v>
      </c>
      <c r="I4" s="15">
        <v>900023386</v>
      </c>
      <c r="J4" s="16" t="s">
        <v>1083</v>
      </c>
      <c r="K4" s="17">
        <v>1680</v>
      </c>
      <c r="L4" s="18" t="s">
        <v>471</v>
      </c>
      <c r="M4" s="19">
        <v>4975</v>
      </c>
      <c r="N4" s="19">
        <v>0</v>
      </c>
      <c r="O4" s="19">
        <v>8358000</v>
      </c>
      <c r="P4" s="16" t="s">
        <v>647</v>
      </c>
    </row>
    <row r="5" spans="1:16" x14ac:dyDescent="0.3">
      <c r="A5" s="9" t="s">
        <v>1306</v>
      </c>
      <c r="B5" s="10" t="s">
        <v>1316</v>
      </c>
      <c r="C5" s="11" t="s">
        <v>1317</v>
      </c>
      <c r="D5" s="12">
        <v>44005</v>
      </c>
      <c r="E5" s="12">
        <v>44005</v>
      </c>
      <c r="F5" s="13">
        <v>7000000</v>
      </c>
      <c r="G5" s="14">
        <v>0</v>
      </c>
      <c r="H5" s="9" t="s">
        <v>1318</v>
      </c>
      <c r="I5" s="15">
        <v>800165853</v>
      </c>
      <c r="J5" s="16" t="s">
        <v>1083</v>
      </c>
      <c r="K5" s="17">
        <v>800</v>
      </c>
      <c r="L5" s="18" t="s">
        <v>471</v>
      </c>
      <c r="M5" s="19">
        <v>4700</v>
      </c>
      <c r="N5" s="19">
        <v>0</v>
      </c>
      <c r="O5" s="19">
        <v>3760000</v>
      </c>
      <c r="P5" s="16" t="s">
        <v>647</v>
      </c>
    </row>
  </sheetData>
  <dataValidations count="7">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2:A3">
      <formula1>0</formula1>
      <formula2>390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D2:E2">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D3:E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H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5">
      <formula1>1900/1/1</formula1>
      <formula2>3000/1/1</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sqref="A1:P3"/>
    </sheetView>
  </sheetViews>
  <sheetFormatPr baseColWidth="10" defaultRowHeight="14.4" x14ac:dyDescent="0.3"/>
  <cols>
    <col min="1" max="1" width="15.88671875" customWidth="1"/>
    <col min="2" max="2" width="20.33203125" customWidth="1"/>
    <col min="3" max="3" width="29.5546875" customWidth="1"/>
    <col min="4" max="4" width="20.109375" customWidth="1"/>
    <col min="5" max="5" width="18.109375" customWidth="1"/>
    <col min="6" max="6" width="20.6640625" customWidth="1"/>
    <col min="7" max="7" width="18.33203125" customWidth="1"/>
    <col min="8" max="8" width="17.109375" customWidth="1"/>
    <col min="9" max="9" width="19.33203125" customWidth="1"/>
    <col min="10" max="10" width="38.109375" customWidth="1"/>
    <col min="11" max="11" width="14.77734375" bestFit="1" customWidth="1"/>
    <col min="12" max="12" width="27.6640625" bestFit="1" customWidth="1"/>
    <col min="13" max="13" width="20.6640625" bestFit="1" customWidth="1"/>
    <col min="14" max="14" width="11.88671875" bestFit="1" customWidth="1"/>
    <col min="15" max="15" width="17.5546875" bestFit="1" customWidth="1"/>
    <col min="16" max="16" width="43.33203125" bestFit="1" customWidth="1"/>
  </cols>
  <sheetData>
    <row r="1" spans="1:16" ht="43.2" x14ac:dyDescent="0.3">
      <c r="A1" s="1" t="s">
        <v>0</v>
      </c>
      <c r="B1" s="1" t="s">
        <v>1</v>
      </c>
      <c r="C1" s="1" t="s">
        <v>2</v>
      </c>
      <c r="D1" s="2" t="s">
        <v>3</v>
      </c>
      <c r="E1" s="2" t="s">
        <v>4</v>
      </c>
      <c r="F1" s="3" t="s">
        <v>5</v>
      </c>
      <c r="G1" s="3" t="s">
        <v>6</v>
      </c>
      <c r="H1" s="4" t="s">
        <v>7</v>
      </c>
      <c r="I1" s="5" t="s">
        <v>8</v>
      </c>
      <c r="J1" s="4" t="s">
        <v>9</v>
      </c>
      <c r="K1" s="45" t="s">
        <v>10</v>
      </c>
      <c r="L1" s="7" t="s">
        <v>11</v>
      </c>
      <c r="M1" s="8" t="s">
        <v>12</v>
      </c>
      <c r="N1" s="8" t="s">
        <v>13</v>
      </c>
      <c r="O1" s="8" t="s">
        <v>14</v>
      </c>
      <c r="P1" s="8" t="s">
        <v>15</v>
      </c>
    </row>
    <row r="2" spans="1:16" x14ac:dyDescent="0.3">
      <c r="A2" s="9" t="s">
        <v>196</v>
      </c>
      <c r="B2" s="10" t="s">
        <v>197</v>
      </c>
      <c r="C2" s="11" t="s">
        <v>198</v>
      </c>
      <c r="D2" s="12">
        <v>43915</v>
      </c>
      <c r="E2" s="12">
        <v>43922</v>
      </c>
      <c r="F2" s="13">
        <v>185523408</v>
      </c>
      <c r="G2" s="14">
        <v>0</v>
      </c>
      <c r="H2" s="9" t="s">
        <v>199</v>
      </c>
      <c r="I2" s="15">
        <v>800126785</v>
      </c>
      <c r="J2" s="16" t="s">
        <v>200</v>
      </c>
      <c r="K2" s="17">
        <v>6</v>
      </c>
      <c r="L2" s="18" t="s">
        <v>44</v>
      </c>
      <c r="M2" s="19">
        <v>3222785</v>
      </c>
      <c r="N2" s="19">
        <v>0</v>
      </c>
      <c r="O2" s="19">
        <f>K2*(M2+N2)*7</f>
        <v>135356970</v>
      </c>
      <c r="P2" s="17" t="s">
        <v>201</v>
      </c>
    </row>
    <row r="3" spans="1:16" x14ac:dyDescent="0.3">
      <c r="A3" s="9" t="s">
        <v>196</v>
      </c>
      <c r="B3" s="10" t="s">
        <v>197</v>
      </c>
      <c r="C3" s="11" t="s">
        <v>198</v>
      </c>
      <c r="D3" s="12">
        <v>43915</v>
      </c>
      <c r="E3" s="12">
        <v>43922</v>
      </c>
      <c r="F3" s="13">
        <v>185523408</v>
      </c>
      <c r="G3" s="14">
        <v>0</v>
      </c>
      <c r="H3" s="9" t="s">
        <v>199</v>
      </c>
      <c r="I3" s="15">
        <v>800126785</v>
      </c>
      <c r="J3" s="16" t="s">
        <v>202</v>
      </c>
      <c r="K3" s="17">
        <v>21</v>
      </c>
      <c r="L3" s="18" t="s">
        <v>44</v>
      </c>
      <c r="M3" s="19">
        <v>341189</v>
      </c>
      <c r="N3" s="19">
        <v>0</v>
      </c>
      <c r="O3" s="19">
        <f>K3*(M3+N3)*7</f>
        <v>50154783</v>
      </c>
      <c r="P3" s="17" t="s">
        <v>201</v>
      </c>
    </row>
  </sheetData>
  <dataValidations count="1">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D2:E3">
      <formula1>1900/1/1</formula1>
      <formula2>3000/1/1</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61</vt:i4>
      </vt:variant>
    </vt:vector>
  </HeadingPairs>
  <TitlesOfParts>
    <vt:vector size="61" baseType="lpstr">
      <vt:lpstr>RESUMEN POR SECCIONAL</vt:lpstr>
      <vt:lpstr>RESUMEN POR CATEGORIA</vt:lpstr>
      <vt:lpstr>CONSOLIDADO</vt:lpstr>
      <vt:lpstr>ADECUACIONES</vt:lpstr>
      <vt:lpstr>ALCOHOL</vt:lpstr>
      <vt:lpstr>ALQUILER COMPUTADOR P</vt:lpstr>
      <vt:lpstr>ALQUILER ESCANNERS</vt:lpstr>
      <vt:lpstr>AMONIO</vt:lpstr>
      <vt:lpstr>AREAS PROTEGIDAS</vt:lpstr>
      <vt:lpstr>ASPERSOR</vt:lpstr>
      <vt:lpstr>ATOMIZADOR</vt:lpstr>
      <vt:lpstr>AUXILIARES DE ASEO</vt:lpstr>
      <vt:lpstr>BATA</vt:lpstr>
      <vt:lpstr>BAYETILLA</vt:lpstr>
      <vt:lpstr>BLANQUEADOR</vt:lpstr>
      <vt:lpstr>BOLSAS</vt:lpstr>
      <vt:lpstr>BUZON</vt:lpstr>
      <vt:lpstr>CAMARA WEB</vt:lpstr>
      <vt:lpstr>CAMILLA</vt:lpstr>
      <vt:lpstr>CANECA PAPELERA</vt:lpstr>
      <vt:lpstr>CARETA</vt:lpstr>
      <vt:lpstr>CARPA</vt:lpstr>
      <vt:lpstr>COMPUTADOR</vt:lpstr>
      <vt:lpstr>CONSULTORIA</vt:lpstr>
      <vt:lpstr>DESFIBRILADOR</vt:lpstr>
      <vt:lpstr>DESINFECTANTE</vt:lpstr>
      <vt:lpstr>DIADEMA</vt:lpstr>
      <vt:lpstr>DISPENSADOR</vt:lpstr>
      <vt:lpstr>DIVISIONES BARRERAS</vt:lpstr>
      <vt:lpstr>ESCANNER</vt:lpstr>
      <vt:lpstr>GAFAS</vt:lpstr>
      <vt:lpstr>GALON</vt:lpstr>
      <vt:lpstr>GEL ANTIBACTERIAL</vt:lpstr>
      <vt:lpstr>GUANTES LATEX</vt:lpstr>
      <vt:lpstr>GUANTES NITRILO</vt:lpstr>
      <vt:lpstr>GUANTES NITILSAFE</vt:lpstr>
      <vt:lpstr>INSTALACION ELEMENTOS</vt:lpstr>
      <vt:lpstr>INTERCOMUNICADOR</vt:lpstr>
      <vt:lpstr>JABON LIQUIDO</vt:lpstr>
      <vt:lpstr>KIT PREVENCION</vt:lpstr>
      <vt:lpstr>LAVAMANOS</vt:lpstr>
      <vt:lpstr>LECTORA CODIGO</vt:lpstr>
      <vt:lpstr>LICENCIAS SW</vt:lpstr>
      <vt:lpstr>MAQUINA DESINFECCION</vt:lpstr>
      <vt:lpstr>PAÑOS LIMPIEZA</vt:lpstr>
      <vt:lpstr>PAPEL HIGIENICO</vt:lpstr>
      <vt:lpstr>PARLANTE</vt:lpstr>
      <vt:lpstr>PILAS</vt:lpstr>
      <vt:lpstr>PROF BASES DE DATOS</vt:lpstr>
      <vt:lpstr>PULSOXIMETRO</vt:lpstr>
      <vt:lpstr>SEÑALIZACION</vt:lpstr>
      <vt:lpstr>SERV. DESINFECCION</vt:lpstr>
      <vt:lpstr>SILLA DE RUEDAS</vt:lpstr>
      <vt:lpstr>TAPABOCAS</vt:lpstr>
      <vt:lpstr>TAPETE DESINFECTANTE</vt:lpstr>
      <vt:lpstr>TERMOMETROS</vt:lpstr>
      <vt:lpstr>TOALLAS DE PAPEL</vt:lpstr>
      <vt:lpstr>TRAJE DE PROTECCION</vt:lpstr>
      <vt:lpstr>VIGIAS</vt:lpstr>
      <vt:lpstr>VINAGRE</vt:lpstr>
      <vt:lpstr>VINIPEL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2021-03-24T22:52:19Z</dcterms:created>
  <dcterms:modified xsi:type="dcterms:W3CDTF">2021-05-03T21:36:19Z</dcterms:modified>
</cp:coreProperties>
</file>